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0" yWindow="0" windowWidth="28800" windowHeight="12300"/>
  </bookViews>
  <sheets>
    <sheet name="BD" sheetId="1" r:id="rId1"/>
    <sheet name="Edad Tez Sexo" sheetId="6" r:id="rId2"/>
    <sheet name="Años" sheetId="5" r:id="rId3"/>
    <sheet name="Asp Clínicos" sheetId="2" r:id="rId4"/>
    <sheet name="Mortalidad X2" sheetId="3" r:id="rId5"/>
    <sheet name="Hoja7" sheetId="12" r:id="rId6"/>
    <sheet name="Hoja9" sheetId="10" r:id="rId7"/>
  </sheets>
  <definedNames>
    <definedName name="_xlnm._FilterDatabase" localSheetId="0" hidden="1">BD!$C$7:$M$27</definedName>
    <definedName name="_xlnm._FilterDatabase" localSheetId="6" hidden="1">Hoja9!$J$19:$M$32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5" i="12"/>
  <c r="F89" i="3"/>
  <c r="E88" i="3"/>
  <c r="D88" i="3"/>
  <c r="E87" i="3"/>
  <c r="D87" i="3"/>
  <c r="E86" i="3"/>
  <c r="D86" i="3"/>
  <c r="E85" i="3"/>
  <c r="D85" i="3"/>
  <c r="M84" i="3"/>
  <c r="E84" i="3"/>
  <c r="D84" i="3"/>
  <c r="N83" i="3"/>
  <c r="M82" i="3"/>
  <c r="F81" i="3"/>
  <c r="E81" i="3"/>
  <c r="D81" i="3"/>
  <c r="E80" i="3"/>
  <c r="D80" i="3"/>
  <c r="E79" i="3"/>
  <c r="D79" i="3"/>
  <c r="M78" i="3"/>
  <c r="E78" i="3"/>
  <c r="D78" i="3"/>
  <c r="E77" i="3"/>
  <c r="D77" i="3"/>
  <c r="E76" i="3"/>
  <c r="D76" i="3"/>
  <c r="F73" i="3"/>
  <c r="E73" i="3"/>
  <c r="D73" i="3"/>
  <c r="L68" i="3"/>
  <c r="Q64" i="3"/>
  <c r="P64" i="3"/>
  <c r="Q63" i="3"/>
  <c r="P63" i="3"/>
  <c r="Q62" i="3"/>
  <c r="P62" i="3"/>
  <c r="F62" i="3"/>
  <c r="Q61" i="3"/>
  <c r="P61" i="3"/>
  <c r="E61" i="3"/>
  <c r="D61" i="3"/>
  <c r="Y60" i="3"/>
  <c r="Q60" i="3"/>
  <c r="P60" i="3"/>
  <c r="M60" i="3"/>
  <c r="E60" i="3"/>
  <c r="D60" i="3"/>
  <c r="Z59" i="3"/>
  <c r="N59" i="3"/>
  <c r="E59" i="3"/>
  <c r="D59" i="3"/>
  <c r="Y58" i="3"/>
  <c r="M58" i="3"/>
  <c r="E58" i="3"/>
  <c r="D58" i="3"/>
  <c r="R57" i="3"/>
  <c r="Q57" i="3"/>
  <c r="P57" i="3"/>
  <c r="R56" i="3"/>
  <c r="Q56" i="3"/>
  <c r="P56" i="3"/>
  <c r="R55" i="3"/>
  <c r="Q55" i="3"/>
  <c r="P55" i="3"/>
  <c r="F55" i="3"/>
  <c r="E55" i="3"/>
  <c r="D55" i="3"/>
  <c r="Y54" i="3"/>
  <c r="R54" i="3"/>
  <c r="Q54" i="3"/>
  <c r="P54" i="3"/>
  <c r="M54" i="3"/>
  <c r="F54" i="3"/>
  <c r="E54" i="3"/>
  <c r="D54" i="3"/>
  <c r="R53" i="3"/>
  <c r="Q53" i="3"/>
  <c r="P53" i="3"/>
  <c r="F53" i="3"/>
  <c r="E53" i="3"/>
  <c r="D53" i="3"/>
  <c r="R52" i="3"/>
  <c r="Q52" i="3"/>
  <c r="P52" i="3"/>
  <c r="F52" i="3"/>
  <c r="E52" i="3"/>
  <c r="D52" i="3"/>
  <c r="F51" i="3"/>
  <c r="E51" i="3"/>
  <c r="D51" i="3"/>
  <c r="F48" i="3"/>
  <c r="E48" i="3"/>
  <c r="D48" i="3"/>
  <c r="X44" i="3"/>
  <c r="L44" i="3"/>
  <c r="R29" i="3"/>
  <c r="J29" i="3"/>
  <c r="I29" i="3"/>
  <c r="H29" i="3"/>
  <c r="G29" i="3"/>
  <c r="F29" i="3"/>
  <c r="E29" i="3"/>
  <c r="Q28" i="3"/>
  <c r="P28" i="3"/>
  <c r="J28" i="3"/>
  <c r="H28" i="3"/>
  <c r="F28" i="3"/>
  <c r="Y27" i="3"/>
  <c r="Q27" i="3"/>
  <c r="P27" i="3"/>
  <c r="J27" i="3"/>
  <c r="H27" i="3"/>
  <c r="F27" i="3"/>
  <c r="J26" i="3"/>
  <c r="H26" i="3"/>
  <c r="F26" i="3"/>
  <c r="Q25" i="3"/>
  <c r="P25" i="3"/>
  <c r="J25" i="3"/>
  <c r="H25" i="3"/>
  <c r="F25" i="3"/>
  <c r="J24" i="3"/>
  <c r="H24" i="3"/>
  <c r="F24" i="3"/>
  <c r="R22" i="3"/>
  <c r="Q22" i="3"/>
  <c r="P22" i="3"/>
  <c r="J22" i="3"/>
  <c r="I22" i="3"/>
  <c r="H22" i="3"/>
  <c r="G22" i="3"/>
  <c r="F22" i="3"/>
  <c r="E22" i="3"/>
  <c r="Z21" i="3"/>
  <c r="R21" i="3"/>
  <c r="Q21" i="3"/>
  <c r="P21" i="3"/>
  <c r="J21" i="3"/>
  <c r="H21" i="3"/>
  <c r="F21" i="3"/>
  <c r="AA20" i="3"/>
  <c r="R20" i="3"/>
  <c r="Q20" i="3"/>
  <c r="P20" i="3"/>
  <c r="J20" i="3"/>
  <c r="H20" i="3"/>
  <c r="F20" i="3"/>
  <c r="Z19" i="3"/>
  <c r="R19" i="3"/>
  <c r="Q19" i="3"/>
  <c r="P19" i="3"/>
  <c r="J19" i="3"/>
  <c r="H19" i="3"/>
  <c r="F19" i="3"/>
  <c r="R18" i="3"/>
  <c r="Q18" i="3"/>
  <c r="P18" i="3"/>
  <c r="J18" i="3"/>
  <c r="H18" i="3"/>
  <c r="F18" i="3"/>
  <c r="J16" i="3"/>
  <c r="I16" i="3"/>
  <c r="H16" i="3"/>
  <c r="G16" i="3"/>
  <c r="F16" i="3"/>
  <c r="E16" i="3"/>
  <c r="Z15" i="3"/>
  <c r="R15" i="3"/>
  <c r="Q15" i="3"/>
  <c r="P15" i="3"/>
  <c r="J15" i="3"/>
  <c r="H15" i="3"/>
  <c r="F15" i="3"/>
  <c r="J14" i="3"/>
  <c r="H14" i="3"/>
  <c r="F14" i="3"/>
  <c r="J13" i="3"/>
  <c r="H13" i="3"/>
  <c r="F13" i="3"/>
  <c r="J12" i="3"/>
  <c r="H12" i="3"/>
  <c r="F12" i="3"/>
  <c r="G26" i="2"/>
  <c r="I25" i="2"/>
  <c r="G25" i="2"/>
  <c r="G24" i="2"/>
  <c r="G23" i="2"/>
  <c r="G22" i="2"/>
  <c r="G21" i="2"/>
  <c r="G20" i="2"/>
  <c r="G19" i="2"/>
  <c r="I18" i="2"/>
  <c r="G18" i="2"/>
  <c r="G17" i="2"/>
  <c r="G16" i="2"/>
  <c r="G15" i="2"/>
  <c r="G14" i="2"/>
  <c r="G13" i="2"/>
  <c r="G12" i="2"/>
  <c r="G11" i="2"/>
  <c r="G10" i="2"/>
  <c r="G9" i="2"/>
  <c r="G8" i="2"/>
  <c r="I7" i="2"/>
  <c r="G7" i="2"/>
  <c r="G6" i="2"/>
  <c r="C15" i="5"/>
  <c r="C14" i="5"/>
  <c r="E44" i="6"/>
  <c r="D43" i="6"/>
  <c r="C43" i="6"/>
  <c r="D42" i="6"/>
  <c r="C42" i="6"/>
  <c r="D41" i="6"/>
  <c r="C41" i="6"/>
  <c r="M39" i="6"/>
  <c r="N38" i="6"/>
  <c r="E38" i="6"/>
  <c r="D38" i="6"/>
  <c r="C38" i="6"/>
  <c r="M37" i="6"/>
  <c r="E37" i="6"/>
  <c r="D37" i="6"/>
  <c r="C37" i="6"/>
  <c r="Q36" i="6"/>
  <c r="E36" i="6"/>
  <c r="D36" i="6"/>
  <c r="C36" i="6"/>
  <c r="E35" i="6"/>
  <c r="D35" i="6"/>
  <c r="C35" i="6"/>
  <c r="M33" i="6"/>
  <c r="E31" i="6"/>
  <c r="D31" i="6"/>
  <c r="C31" i="6"/>
  <c r="P21" i="6"/>
  <c r="I21" i="6"/>
  <c r="H21" i="6"/>
  <c r="G21" i="6"/>
  <c r="F21" i="6"/>
  <c r="E21" i="6"/>
  <c r="D21" i="6"/>
  <c r="I20" i="6"/>
  <c r="G20" i="6"/>
  <c r="E20" i="6"/>
  <c r="P19" i="6"/>
  <c r="I19" i="6"/>
  <c r="G19" i="6"/>
  <c r="E19" i="6"/>
  <c r="I18" i="6"/>
  <c r="G18" i="6"/>
  <c r="E18" i="6"/>
  <c r="Q16" i="6"/>
  <c r="P15" i="6"/>
  <c r="P11" i="6"/>
  <c r="I11" i="6"/>
  <c r="H11" i="6"/>
  <c r="G11" i="6"/>
  <c r="F11" i="6"/>
  <c r="E11" i="6"/>
  <c r="D11" i="6"/>
  <c r="I10" i="6"/>
  <c r="G10" i="6"/>
  <c r="E10" i="6"/>
  <c r="U9" i="6"/>
  <c r="S9" i="6"/>
  <c r="P9" i="6"/>
  <c r="I9" i="6"/>
  <c r="G9" i="6"/>
  <c r="E9" i="6"/>
  <c r="U8" i="6"/>
  <c r="S8" i="6"/>
  <c r="P8" i="6"/>
  <c r="I8" i="6"/>
  <c r="G8" i="6"/>
  <c r="E8" i="6"/>
  <c r="I7" i="6"/>
  <c r="G7" i="6"/>
  <c r="E7" i="6"/>
  <c r="F30" i="1"/>
  <c r="F29" i="1"/>
  <c r="D29" i="1"/>
</calcChain>
</file>

<file path=xl/sharedStrings.xml><?xml version="1.0" encoding="utf-8"?>
<sst xmlns="http://schemas.openxmlformats.org/spreadsheetml/2006/main" count="483" uniqueCount="177">
  <si>
    <r>
      <rPr>
        <b/>
        <sz val="11"/>
        <color theme="1"/>
        <rFont val="Calibri"/>
        <charset val="134"/>
        <scheme val="minor"/>
      </rPr>
      <t xml:space="preserve">Autores: </t>
    </r>
    <r>
      <rPr>
        <sz val="11"/>
        <color theme="1"/>
        <rFont val="Calibri"/>
        <charset val="134"/>
        <scheme val="minor"/>
      </rPr>
      <t>Royland Bejerano-Durán, Jaime Rocey Lobaina-Rodríguez.</t>
    </r>
  </si>
  <si>
    <t>Isquemia Mesentérica</t>
  </si>
  <si>
    <t>Base de Datos: Isquemia Mesentérica</t>
  </si>
  <si>
    <t>Nº</t>
  </si>
  <si>
    <t>Año</t>
  </si>
  <si>
    <t>Edad</t>
  </si>
  <si>
    <t>Sexo</t>
  </si>
  <si>
    <t>Tez Piel</t>
  </si>
  <si>
    <t>Estado de Egreso</t>
  </si>
  <si>
    <t>Tiempo Diagnóstico</t>
  </si>
  <si>
    <t>Extensión del Infarto</t>
  </si>
  <si>
    <t>Causa de Muerte</t>
  </si>
  <si>
    <t>APP</t>
  </si>
  <si>
    <t>Tto Quirúrgico</t>
  </si>
  <si>
    <t>M</t>
  </si>
  <si>
    <t>B</t>
  </si>
  <si>
    <t>Fallecido</t>
  </si>
  <si>
    <t>12 - 24 h</t>
  </si>
  <si>
    <t>TAMS</t>
  </si>
  <si>
    <t>PCR</t>
  </si>
  <si>
    <t>HTA, CI, UP</t>
  </si>
  <si>
    <t>Laparotomía y cierre</t>
  </si>
  <si>
    <t>F</t>
  </si>
  <si>
    <t>&gt; 48 h</t>
  </si>
  <si>
    <t>Extenso</t>
  </si>
  <si>
    <t>FMO</t>
  </si>
  <si>
    <t>HTA, CI, DM</t>
  </si>
  <si>
    <t>N</t>
  </si>
  <si>
    <t>Vivo</t>
  </si>
  <si>
    <t>Segmentario</t>
  </si>
  <si>
    <t>No</t>
  </si>
  <si>
    <t>Epilepsia, UP</t>
  </si>
  <si>
    <t>Yeyuno-yeyunostomía termino-terminal</t>
  </si>
  <si>
    <t>Epilepsia, DM</t>
  </si>
  <si>
    <t>24 - 48 h</t>
  </si>
  <si>
    <t>HTA, CI,  UP</t>
  </si>
  <si>
    <t>IMANO</t>
  </si>
  <si>
    <t>Compresa tibia</t>
  </si>
  <si>
    <t>HTA, DM</t>
  </si>
  <si>
    <t>HTA, CI</t>
  </si>
  <si>
    <t>&lt; 12 h</t>
  </si>
  <si>
    <t>DM, UP</t>
  </si>
  <si>
    <t>Diverticulosis, DM, UP</t>
  </si>
  <si>
    <t>Ileo-transversostomía termino-lateral</t>
  </si>
  <si>
    <t>HTA, UP</t>
  </si>
  <si>
    <t>HTA, CI, DM, UP</t>
  </si>
  <si>
    <t>TVMS</t>
  </si>
  <si>
    <t>Diverticulosis, UP</t>
  </si>
  <si>
    <t>Ileo-transversostomía termino-terminal</t>
  </si>
  <si>
    <t>Diverticulosis</t>
  </si>
  <si>
    <t>Total:</t>
  </si>
  <si>
    <t>Desv Est.:</t>
  </si>
  <si>
    <t>Val Min.</t>
  </si>
  <si>
    <t>Media:</t>
  </si>
  <si>
    <t>Val Max.</t>
  </si>
  <si>
    <t>PRUEBA DE HIPÓTESIS</t>
  </si>
  <si>
    <t>VARIANZA</t>
  </si>
  <si>
    <t>Prueba t para dos muestras suponiendo varianzas iguales</t>
  </si>
  <si>
    <t>COMPROBACIÓN</t>
  </si>
  <si>
    <t>Femenino</t>
  </si>
  <si>
    <t>Masculino</t>
  </si>
  <si>
    <t>Variables demográficas</t>
  </si>
  <si>
    <t>Total</t>
  </si>
  <si>
    <t>T Student</t>
  </si>
  <si>
    <t>p Valor</t>
  </si>
  <si>
    <t>Media</t>
  </si>
  <si>
    <t>%</t>
  </si>
  <si>
    <t>Estadístico de prueba</t>
  </si>
  <si>
    <t>Varianza</t>
  </si>
  <si>
    <t>Rango de edad</t>
  </si>
  <si>
    <t>&lt; 60 años</t>
  </si>
  <si>
    <t>Promedio</t>
  </si>
  <si>
    <t>Cantidad de elementos</t>
  </si>
  <si>
    <t>Observaciones</t>
  </si>
  <si>
    <t>60 - 69 años</t>
  </si>
  <si>
    <t>X1=</t>
  </si>
  <si>
    <t>n1=</t>
  </si>
  <si>
    <t>Varianza agrupada</t>
  </si>
  <si>
    <t>70 - 79 años</t>
  </si>
  <si>
    <t>X2=</t>
  </si>
  <si>
    <t>n2=</t>
  </si>
  <si>
    <t>Diferencia hipotética de las medias</t>
  </si>
  <si>
    <t>&gt; 80 años</t>
  </si>
  <si>
    <t>Grados de libertad</t>
  </si>
  <si>
    <t>t=</t>
  </si>
  <si>
    <t>Estadístico t</t>
  </si>
  <si>
    <t>Valor mínimo</t>
  </si>
  <si>
    <t>56 años</t>
  </si>
  <si>
    <t>P(T&lt;=t) una cola</t>
  </si>
  <si>
    <t>Valor máximo</t>
  </si>
  <si>
    <t>92 años</t>
  </si>
  <si>
    <t>Valor crítico de t (una cola)</t>
  </si>
  <si>
    <t>79,75 años</t>
  </si>
  <si>
    <t>P(T&lt;=t) dos colas</t>
  </si>
  <si>
    <t>Desviación estándar</t>
  </si>
  <si>
    <t>9,77 años</t>
  </si>
  <si>
    <t>Valor crítico:</t>
  </si>
  <si>
    <t>gl=(n1+n2-2)=</t>
  </si>
  <si>
    <t>Valor crítico de t (dos colas)</t>
  </si>
  <si>
    <t>Valor crítico de t</t>
  </si>
  <si>
    <t>a=</t>
  </si>
  <si>
    <t>Tez de Piel</t>
  </si>
  <si>
    <t>X2</t>
  </si>
  <si>
    <r>
      <rPr>
        <b/>
        <sz val="11"/>
        <color theme="1"/>
        <rFont val="Calibri"/>
        <charset val="134"/>
        <scheme val="minor"/>
      </rPr>
      <t xml:space="preserve">Coeficiente V de </t>
    </r>
    <r>
      <rPr>
        <b/>
        <i/>
        <sz val="11"/>
        <color theme="1"/>
        <rFont val="Calibri"/>
        <charset val="134"/>
        <scheme val="minor"/>
      </rPr>
      <t>Cramer</t>
    </r>
  </si>
  <si>
    <t>Blanco</t>
  </si>
  <si>
    <t>Mestizo</t>
  </si>
  <si>
    <t>Negro</t>
  </si>
  <si>
    <t>p - Valor=</t>
  </si>
  <si>
    <t>Valor crítico de X2</t>
  </si>
  <si>
    <r>
      <rPr>
        <b/>
        <sz val="11"/>
        <color theme="1"/>
        <rFont val="Calibri"/>
        <charset val="134"/>
        <scheme val="minor"/>
      </rPr>
      <t>Decisión:</t>
    </r>
    <r>
      <rPr>
        <sz val="11"/>
        <color theme="1"/>
        <rFont val="Calibri"/>
        <charset val="134"/>
        <scheme val="minor"/>
      </rPr>
      <t xml:space="preserve"> </t>
    </r>
    <r>
      <rPr>
        <sz val="11"/>
        <color theme="4" tint="-0.249977111117893"/>
        <rFont val="Calibri"/>
        <charset val="134"/>
        <scheme val="minor"/>
      </rPr>
      <t>No se rechaza la hipótesis nula.</t>
    </r>
  </si>
  <si>
    <r>
      <rPr>
        <b/>
        <sz val="11"/>
        <color theme="1"/>
        <rFont val="Calibri"/>
        <charset val="134"/>
        <scheme val="minor"/>
      </rPr>
      <t xml:space="preserve">Conclusión: </t>
    </r>
    <r>
      <rPr>
        <sz val="11"/>
        <color theme="4" tint="-0.249977111117893"/>
        <rFont val="Calibri"/>
        <charset val="134"/>
        <scheme val="minor"/>
      </rPr>
      <t>No existe una diferencia significativa entre las variables.</t>
    </r>
  </si>
  <si>
    <t>Tez de piel</t>
  </si>
  <si>
    <r>
      <rPr>
        <b/>
        <sz val="11"/>
        <color theme="1"/>
        <rFont val="Calibri"/>
        <charset val="134"/>
        <scheme val="minor"/>
      </rPr>
      <t>Ho:</t>
    </r>
    <r>
      <rPr>
        <sz val="11"/>
        <color theme="1"/>
        <rFont val="Calibri"/>
        <charset val="134"/>
        <scheme val="minor"/>
      </rPr>
      <t xml:space="preserve"> Independencia entre variables</t>
    </r>
  </si>
  <si>
    <t>Blanca</t>
  </si>
  <si>
    <r>
      <rPr>
        <b/>
        <sz val="11"/>
        <color theme="1"/>
        <rFont val="Calibri"/>
        <charset val="134"/>
        <scheme val="minor"/>
      </rPr>
      <t>H1:</t>
    </r>
    <r>
      <rPr>
        <sz val="11"/>
        <color theme="1"/>
        <rFont val="Calibri"/>
        <charset val="134"/>
        <scheme val="minor"/>
      </rPr>
      <t xml:space="preserve"> Variables relacionadas</t>
    </r>
  </si>
  <si>
    <t>Mestiza</t>
  </si>
  <si>
    <t>Negra</t>
  </si>
  <si>
    <t>COEFICIENTE V DE CRAMER</t>
  </si>
  <si>
    <t>p Valor =</t>
  </si>
  <si>
    <t>X2 =</t>
  </si>
  <si>
    <t>Frecuencia esperada</t>
  </si>
  <si>
    <t>V=</t>
  </si>
  <si>
    <t>gl= (r-1)(c-1)=</t>
  </si>
  <si>
    <t>X2=(a-1)(r-1)(c-1)=</t>
  </si>
  <si>
    <t>Chi - Cuadrado</t>
  </si>
  <si>
    <r>
      <rPr>
        <b/>
        <sz val="11"/>
        <color theme="1"/>
        <rFont val="Calibri"/>
        <charset val="134"/>
        <scheme val="minor"/>
      </rPr>
      <t>Decisión:</t>
    </r>
    <r>
      <rPr>
        <sz val="11"/>
        <color theme="1"/>
        <rFont val="Calibri"/>
        <charset val="134"/>
        <scheme val="minor"/>
      </rPr>
      <t xml:space="preserve"> </t>
    </r>
    <r>
      <rPr>
        <sz val="11"/>
        <color rgb="FF0070C0"/>
        <rFont val="Calibri"/>
        <charset val="134"/>
        <scheme val="minor"/>
      </rPr>
      <t>Se rechaza la hipótesis nula</t>
    </r>
    <r>
      <rPr>
        <sz val="11"/>
        <color theme="1"/>
        <rFont val="Calibri"/>
        <charset val="134"/>
        <scheme val="minor"/>
      </rPr>
      <t>.</t>
    </r>
  </si>
  <si>
    <r>
      <rPr>
        <b/>
        <sz val="11"/>
        <color theme="1"/>
        <rFont val="Calibri"/>
        <charset val="134"/>
        <scheme val="minor"/>
      </rPr>
      <t>Conclusión:</t>
    </r>
    <r>
      <rPr>
        <sz val="11"/>
        <color rgb="FF0070C0"/>
        <rFont val="Calibri"/>
        <charset val="134"/>
        <scheme val="minor"/>
      </rPr>
      <t xml:space="preserve"> Existe asociación entre el sexo de los pacientes y la tez de piel.</t>
    </r>
  </si>
  <si>
    <t>Suma de Nº</t>
  </si>
  <si>
    <t>Total general</t>
  </si>
  <si>
    <t>Aspectos Clínicos</t>
  </si>
  <si>
    <t>Antecedentes Patológicos Personales</t>
  </si>
  <si>
    <t>Hipertensión arterial</t>
  </si>
  <si>
    <t>Cardiopatía isquémica</t>
  </si>
  <si>
    <t>Úlcera péptica</t>
  </si>
  <si>
    <t>Diabetes mellitus</t>
  </si>
  <si>
    <t>Epilepsia</t>
  </si>
  <si>
    <t>Síntomas y Signos</t>
  </si>
  <si>
    <t>Dolor Abdominal</t>
  </si>
  <si>
    <t>Vómitos</t>
  </si>
  <si>
    <t>Diarrea oscura</t>
  </si>
  <si>
    <t>Constipación</t>
  </si>
  <si>
    <t>Oliguria</t>
  </si>
  <si>
    <t>Mucosas secas</t>
  </si>
  <si>
    <t>Ansiedad</t>
  </si>
  <si>
    <t>Sudoración</t>
  </si>
  <si>
    <t>Taquicardia</t>
  </si>
  <si>
    <t>Distención abdominal</t>
  </si>
  <si>
    <t>Contractura abdominal</t>
  </si>
  <si>
    <t>Reacción peritoneal</t>
  </si>
  <si>
    <t>Ruidos hidroaéreos disminuidos</t>
  </si>
  <si>
    <t>Hábitos tóxicos</t>
  </si>
  <si>
    <t>Fumador</t>
  </si>
  <si>
    <t>Bebedor</t>
  </si>
  <si>
    <t>Variables de mortalidad</t>
  </si>
  <si>
    <t>Estado de egreso</t>
  </si>
  <si>
    <t>Rango edad</t>
  </si>
  <si>
    <t>Mortalidad</t>
  </si>
  <si>
    <t>Vivos</t>
  </si>
  <si>
    <t>Fallecidos</t>
  </si>
  <si>
    <t>Muerto</t>
  </si>
  <si>
    <t>Tiempo diagnóstico</t>
  </si>
  <si>
    <t>Extensión del infarto</t>
  </si>
  <si>
    <t>Tratamiento Quirúrgico</t>
  </si>
  <si>
    <t>Yeyuno-yeyunostomía término-terminal</t>
  </si>
  <si>
    <t>Ileo-transversostomía término-terminal</t>
  </si>
  <si>
    <t>Ileo-transversostomía término-ateral</t>
  </si>
  <si>
    <r>
      <rPr>
        <b/>
        <sz val="11"/>
        <color rgb="FF000000"/>
        <rFont val="Times New Roman"/>
        <charset val="134"/>
      </rPr>
      <t>Valor crítico de X</t>
    </r>
    <r>
      <rPr>
        <b/>
        <vertAlign val="superscript"/>
        <sz val="11"/>
        <color rgb="FF000000"/>
        <rFont val="Times New Roman"/>
        <charset val="134"/>
      </rPr>
      <t>2</t>
    </r>
  </si>
  <si>
    <t>Demora diagnóstica</t>
  </si>
  <si>
    <t>TTO QX</t>
  </si>
  <si>
    <t>Lap Cierre</t>
  </si>
  <si>
    <t>Yeyuno yeyuno</t>
  </si>
  <si>
    <t>Ileo t tt</t>
  </si>
  <si>
    <t>Ileo t tl</t>
  </si>
  <si>
    <t>Suma de nº</t>
  </si>
  <si>
    <t>sexo</t>
  </si>
  <si>
    <t>causa de muerte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</si>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</sst>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_ "/>
    <numFmt numFmtId="167" formatCode="0_ "/>
  </numFmts>
  <fonts count="1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2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1"/>
      <color theme="1"/>
      <name val="Verdana"/>
      <charset val="134"/>
    </font>
    <font>
      <sz val="11"/>
      <color theme="1"/>
      <name val="Times New Roman"/>
      <charset val="134"/>
    </font>
    <font>
      <sz val="11"/>
      <color theme="4" tint="-0.249977111117893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vertAlign val="superscript"/>
      <sz val="11"/>
      <color rgb="FF000000"/>
      <name val="Times New Roman"/>
      <charset val="134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0" fontId="0" fillId="2" borderId="0" xfId="0" applyFill="1"/>
    <xf numFmtId="16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Border="1"/>
    <xf numFmtId="0" fontId="0" fillId="0" borderId="7" xfId="0" applyBorder="1"/>
    <xf numFmtId="166" fontId="0" fillId="0" borderId="8" xfId="0" applyNumberFormat="1" applyBorder="1"/>
    <xf numFmtId="166" fontId="0" fillId="0" borderId="9" xfId="0" applyNumberFormat="1" applyBorder="1"/>
    <xf numFmtId="0" fontId="2" fillId="0" borderId="11" xfId="0" applyFont="1" applyBorder="1"/>
    <xf numFmtId="0" fontId="0" fillId="0" borderId="10" xfId="0" applyBorder="1"/>
    <xf numFmtId="166" fontId="0" fillId="0" borderId="11" xfId="0" applyNumberFormat="1" applyBorder="1"/>
    <xf numFmtId="166" fontId="0" fillId="0" borderId="12" xfId="0" applyNumberFormat="1" applyBorder="1"/>
    <xf numFmtId="0" fontId="1" fillId="0" borderId="14" xfId="0" applyFont="1" applyBorder="1"/>
    <xf numFmtId="0" fontId="1" fillId="0" borderId="13" xfId="0" applyNumberFormat="1" applyFont="1" applyBorder="1"/>
    <xf numFmtId="166" fontId="1" fillId="0" borderId="14" xfId="0" applyNumberFormat="1" applyFont="1" applyBorder="1"/>
    <xf numFmtId="166" fontId="1" fillId="0" borderId="15" xfId="0" applyNumberFormat="1" applyFont="1" applyBorder="1"/>
    <xf numFmtId="0" fontId="2" fillId="0" borderId="19" xfId="0" applyFont="1" applyBorder="1"/>
    <xf numFmtId="0" fontId="0" fillId="0" borderId="18" xfId="0" applyBorder="1"/>
    <xf numFmtId="166" fontId="0" fillId="0" borderId="19" xfId="0" applyNumberFormat="1" applyBorder="1"/>
    <xf numFmtId="166" fontId="0" fillId="0" borderId="20" xfId="0" applyNumberFormat="1" applyBorder="1"/>
    <xf numFmtId="0" fontId="0" fillId="0" borderId="11" xfId="0" applyBorder="1"/>
    <xf numFmtId="0" fontId="0" fillId="0" borderId="19" xfId="0" applyBorder="1"/>
    <xf numFmtId="0" fontId="3" fillId="4" borderId="9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0" fillId="0" borderId="0" xfId="0" applyBorder="1"/>
    <xf numFmtId="0" fontId="3" fillId="5" borderId="0" xfId="0" applyFont="1" applyFill="1" applyAlignment="1">
      <alignment horizontal="center" vertical="center"/>
    </xf>
    <xf numFmtId="0" fontId="2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0" borderId="0" xfId="0" applyFont="1" applyBorder="1"/>
    <xf numFmtId="0" fontId="1" fillId="5" borderId="0" xfId="0" applyFont="1" applyFill="1"/>
    <xf numFmtId="0" fontId="0" fillId="5" borderId="0" xfId="0" applyFill="1"/>
    <xf numFmtId="166" fontId="1" fillId="0" borderId="0" xfId="0" applyNumberFormat="1" applyFont="1"/>
    <xf numFmtId="0" fontId="0" fillId="3" borderId="0" xfId="0" applyFill="1"/>
    <xf numFmtId="166" fontId="1" fillId="3" borderId="0" xfId="0" applyNumberFormat="1" applyFont="1" applyFill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right"/>
    </xf>
    <xf numFmtId="166" fontId="6" fillId="6" borderId="0" xfId="0" applyNumberFormat="1" applyFont="1" applyFill="1"/>
    <xf numFmtId="0" fontId="1" fillId="0" borderId="7" xfId="0" applyFont="1" applyBorder="1"/>
    <xf numFmtId="0" fontId="1" fillId="0" borderId="10" xfId="0" applyFont="1" applyBorder="1"/>
    <xf numFmtId="0" fontId="1" fillId="0" borderId="18" xfId="0" applyFont="1" applyBorder="1"/>
    <xf numFmtId="0" fontId="3" fillId="4" borderId="22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166" fontId="6" fillId="7" borderId="0" xfId="0" applyNumberFormat="1" applyFont="1" applyFill="1"/>
    <xf numFmtId="166" fontId="6" fillId="8" borderId="0" xfId="0" applyNumberFormat="1" applyFont="1" applyFill="1"/>
    <xf numFmtId="0" fontId="1" fillId="0" borderId="0" xfId="0" applyFont="1" applyAlignment="1">
      <alignment horizontal="right" vertical="center"/>
    </xf>
    <xf numFmtId="0" fontId="6" fillId="9" borderId="0" xfId="0" applyFont="1" applyFill="1"/>
    <xf numFmtId="9" fontId="1" fillId="0" borderId="0" xfId="1" applyFont="1" applyAlignment="1"/>
    <xf numFmtId="0" fontId="6" fillId="8" borderId="0" xfId="0" applyFont="1" applyFill="1"/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0" fillId="0" borderId="13" xfId="0" applyBorder="1"/>
    <xf numFmtId="166" fontId="0" fillId="0" borderId="41" xfId="0" applyNumberFormat="1" applyBorder="1"/>
    <xf numFmtId="0" fontId="0" fillId="0" borderId="38" xfId="0" applyBorder="1"/>
    <xf numFmtId="0" fontId="0" fillId="0" borderId="26" xfId="0" applyBorder="1"/>
    <xf numFmtId="0" fontId="0" fillId="0" borderId="0" xfId="0" applyNumberFormat="1"/>
    <xf numFmtId="0" fontId="1" fillId="0" borderId="44" xfId="0" applyFont="1" applyBorder="1"/>
    <xf numFmtId="0" fontId="1" fillId="0" borderId="45" xfId="0" applyFont="1" applyBorder="1"/>
    <xf numFmtId="0" fontId="1" fillId="0" borderId="46" xfId="0" applyNumberFormat="1" applyFont="1" applyBorder="1"/>
    <xf numFmtId="0" fontId="0" fillId="0" borderId="44" xfId="0" applyBorder="1"/>
    <xf numFmtId="166" fontId="0" fillId="0" borderId="49" xfId="0" applyNumberFormat="1" applyBorder="1"/>
    <xf numFmtId="0" fontId="0" fillId="0" borderId="22" xfId="0" applyBorder="1"/>
    <xf numFmtId="0" fontId="0" fillId="0" borderId="45" xfId="0" applyBorder="1"/>
    <xf numFmtId="166" fontId="0" fillId="0" borderId="50" xfId="0" applyNumberFormat="1" applyBorder="1"/>
    <xf numFmtId="0" fontId="0" fillId="0" borderId="24" xfId="0" applyBorder="1"/>
    <xf numFmtId="166" fontId="0" fillId="0" borderId="51" xfId="0" applyNumberFormat="1" applyBorder="1"/>
    <xf numFmtId="166" fontId="1" fillId="0" borderId="52" xfId="0" applyNumberFormat="1" applyFont="1" applyBorder="1"/>
    <xf numFmtId="0" fontId="1" fillId="0" borderId="26" xfId="0" applyNumberFormat="1" applyFont="1" applyBorder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6" fillId="0" borderId="0" xfId="0" applyNumberFormat="1" applyFont="1"/>
    <xf numFmtId="166" fontId="6" fillId="10" borderId="0" xfId="0" applyNumberFormat="1" applyFont="1" applyFill="1"/>
    <xf numFmtId="167" fontId="6" fillId="9" borderId="0" xfId="0" applyNumberFormat="1" applyFont="1" applyFill="1"/>
    <xf numFmtId="166" fontId="6" fillId="9" borderId="0" xfId="0" applyNumberFormat="1" applyFont="1" applyFill="1"/>
    <xf numFmtId="0" fontId="1" fillId="3" borderId="3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/>
    <xf numFmtId="0" fontId="5" fillId="0" borderId="0" xfId="0" applyFont="1" applyAlignment="1">
      <alignment horizontal="right" vertical="center"/>
    </xf>
    <xf numFmtId="0" fontId="7" fillId="0" borderId="5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7" xfId="0" applyFont="1" applyFill="1" applyBorder="1" applyAlignment="1"/>
    <xf numFmtId="9" fontId="0" fillId="0" borderId="0" xfId="1" applyAlignment="1"/>
    <xf numFmtId="0" fontId="1" fillId="8" borderId="39" xfId="0" applyFont="1" applyFill="1" applyBorder="1"/>
    <xf numFmtId="0" fontId="0" fillId="8" borderId="39" xfId="0" applyFill="1" applyBorder="1"/>
    <xf numFmtId="0" fontId="8" fillId="2" borderId="54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5" borderId="0" xfId="0" applyFill="1" applyBorder="1" applyAlignment="1"/>
    <xf numFmtId="0" fontId="6" fillId="6" borderId="0" xfId="0" applyFont="1" applyFill="1" applyBorder="1" applyAlignment="1"/>
    <xf numFmtId="2" fontId="6" fillId="10" borderId="0" xfId="0" applyNumberFormat="1" applyFont="1" applyFill="1" applyBorder="1" applyAlignment="1"/>
    <xf numFmtId="2" fontId="0" fillId="0" borderId="0" xfId="0" applyNumberFormat="1" applyFill="1" applyBorder="1" applyAlignment="1"/>
    <xf numFmtId="2" fontId="6" fillId="6" borderId="0" xfId="0" applyNumberFormat="1" applyFont="1" applyFill="1" applyBorder="1" applyAlignment="1"/>
    <xf numFmtId="2" fontId="6" fillId="6" borderId="17" xfId="0" applyNumberFormat="1" applyFont="1" applyFill="1" applyBorder="1" applyAlignment="1"/>
    <xf numFmtId="0" fontId="0" fillId="0" borderId="17" xfId="0" applyFill="1" applyBorder="1" applyAlignment="1"/>
    <xf numFmtId="0" fontId="1" fillId="2" borderId="0" xfId="0" applyFont="1" applyFill="1" applyAlignment="1">
      <alignment horizontal="right"/>
    </xf>
    <xf numFmtId="0" fontId="6" fillId="6" borderId="0" xfId="0" applyNumberFormat="1" applyFont="1" applyFill="1"/>
    <xf numFmtId="0" fontId="6" fillId="6" borderId="0" xfId="0" applyFont="1" applyFill="1"/>
    <xf numFmtId="0" fontId="9" fillId="0" borderId="0" xfId="0" applyFont="1"/>
    <xf numFmtId="0" fontId="10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/>
    </xf>
    <xf numFmtId="166" fontId="3" fillId="4" borderId="6" xfId="0" applyNumberFormat="1" applyFont="1" applyFill="1" applyBorder="1" applyAlignment="1">
      <alignment horizontal="center" vertical="center"/>
    </xf>
    <xf numFmtId="166" fontId="3" fillId="4" borderId="28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6" fontId="3" fillId="4" borderId="32" xfId="0" applyNumberFormat="1" applyFont="1" applyFill="1" applyBorder="1" applyAlignment="1">
      <alignment horizontal="center" vertical="center"/>
    </xf>
    <xf numFmtId="166" fontId="3" fillId="4" borderId="3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[76565_bd_procesamiento.xlsx]Años!Tabla 
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0" vertOverflow="ellipsis" vert="horz" wrap="square" lIns="38100" tIns="19050" rIns="38100" bIns="19050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0" vertOverflow="ellipsis" vert="horz" wrap="square" lIns="38100" tIns="19050" rIns="38100" bIns="19050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Años!$B$3:$B$4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Años!$A$5:$A$9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2023</c:v>
                </c:pt>
              </c:strCache>
            </c:strRef>
          </c:cat>
          <c:val>
            <c:numRef>
              <c:f>Años!$B$5:$B$9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5-4F75-9B6D-2694E4FED47C}"/>
            </c:ext>
          </c:extLst>
        </c:ser>
        <c:ser>
          <c:idx val="1"/>
          <c:order val="1"/>
          <c:tx>
            <c:strRef>
              <c:f>Años!$C$3:$C$4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Años!$A$5:$A$9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2023</c:v>
                </c:pt>
              </c:strCache>
            </c:strRef>
          </c:cat>
          <c:val>
            <c:numRef>
              <c:f>Años!$C$5:$C$9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5-4F75-9B6D-2694E4FED4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axId val="934530635"/>
        <c:axId val="402401273"/>
      </c:barChart>
      <c:catAx>
        <c:axId val="93453063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s-E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Años de estudio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s-E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2401273"/>
        <c:crosses val="autoZero"/>
        <c:auto val="1"/>
        <c:lblAlgn val="ctr"/>
        <c:lblOffset val="100"/>
        <c:noMultiLvlLbl val="0"/>
      </c:catAx>
      <c:valAx>
        <c:axId val="4024012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s-E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 de pacientes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s-E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45306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6faad6d-e8d9-467d-91a3-8397220ec2f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[76565_bd_procesamiento.xlsx]Hoja7!Tabla 
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0" vertOverflow="ellipsis" vert="horz" wrap="square" lIns="38100" tIns="19050" rIns="38100" bIns="19050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0" vertOverflow="ellipsis" vert="horz" wrap="square" lIns="38100" tIns="19050" rIns="38100" bIns="19050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Hoja7!$B$3:$B$4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Hoja7!$A$5:$A$7</c:f>
              <c:strCache>
                <c:ptCount val="2"/>
                <c:pt idx="0">
                  <c:v>FMO</c:v>
                </c:pt>
                <c:pt idx="1">
                  <c:v>PCR</c:v>
                </c:pt>
              </c:strCache>
            </c:strRef>
          </c:cat>
          <c:val>
            <c:numRef>
              <c:f>Hoja7!$B$5:$B$7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F-415A-9F02-2925AD9D4710}"/>
            </c:ext>
          </c:extLst>
        </c:ser>
        <c:ser>
          <c:idx val="1"/>
          <c:order val="1"/>
          <c:tx>
            <c:strRef>
              <c:f>Hoja7!$C$3:$C$4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Hoja7!$A$5:$A$7</c:f>
              <c:strCache>
                <c:ptCount val="2"/>
                <c:pt idx="0">
                  <c:v>FMO</c:v>
                </c:pt>
                <c:pt idx="1">
                  <c:v>PCR</c:v>
                </c:pt>
              </c:strCache>
            </c:strRef>
          </c:cat>
          <c:val>
            <c:numRef>
              <c:f>Hoja7!$C$5:$C$7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F-415A-9F02-2925AD9D4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447750195"/>
        <c:axId val="376255770"/>
      </c:barChart>
      <c:catAx>
        <c:axId val="447750195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255770"/>
        <c:crosses val="autoZero"/>
        <c:auto val="1"/>
        <c:lblAlgn val="ctr"/>
        <c:lblOffset val="100"/>
        <c:noMultiLvlLbl val="0"/>
      </c:catAx>
      <c:valAx>
        <c:axId val="37625577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77501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d9cacbe-123a-4103-b996-cc57e73d2cb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wmf"/><Relationship Id="rId1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6</xdr:row>
          <xdr:rowOff>114300</xdr:rowOff>
        </xdr:from>
        <xdr:to>
          <xdr:col>14</xdr:col>
          <xdr:colOff>142875</xdr:colOff>
          <xdr:row>11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6</xdr:row>
          <xdr:rowOff>190500</xdr:rowOff>
        </xdr:from>
        <xdr:to>
          <xdr:col>19</xdr:col>
          <xdr:colOff>552450</xdr:colOff>
          <xdr:row>8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7</xdr:row>
          <xdr:rowOff>190500</xdr:rowOff>
        </xdr:from>
        <xdr:to>
          <xdr:col>19</xdr:col>
          <xdr:colOff>495300</xdr:colOff>
          <xdr:row>9</xdr:row>
          <xdr:rowOff>19050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8</xdr:row>
          <xdr:rowOff>190500</xdr:rowOff>
        </xdr:from>
        <xdr:to>
          <xdr:col>19</xdr:col>
          <xdr:colOff>552450</xdr:colOff>
          <xdr:row>10</xdr:row>
          <xdr:rowOff>28575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2</xdr:row>
          <xdr:rowOff>171450</xdr:rowOff>
        </xdr:from>
        <xdr:to>
          <xdr:col>22</xdr:col>
          <xdr:colOff>228600</xdr:colOff>
          <xdr:row>5</xdr:row>
          <xdr:rowOff>171450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17</xdr:row>
          <xdr:rowOff>66675</xdr:rowOff>
        </xdr:from>
        <xdr:to>
          <xdr:col>15</xdr:col>
          <xdr:colOff>0</xdr:colOff>
          <xdr:row>19</xdr:row>
          <xdr:rowOff>114300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1</xdr:row>
          <xdr:rowOff>180975</xdr:rowOff>
        </xdr:from>
        <xdr:to>
          <xdr:col>13</xdr:col>
          <xdr:colOff>247650</xdr:colOff>
          <xdr:row>3</xdr:row>
          <xdr:rowOff>19050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0</xdr:rowOff>
        </xdr:from>
        <xdr:to>
          <xdr:col>13</xdr:col>
          <xdr:colOff>257175</xdr:colOff>
          <xdr:row>4</xdr:row>
          <xdr:rowOff>28575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30</xdr:row>
          <xdr:rowOff>104775</xdr:rowOff>
        </xdr:from>
        <xdr:to>
          <xdr:col>9</xdr:col>
          <xdr:colOff>533400</xdr:colOff>
          <xdr:row>34</xdr:row>
          <xdr:rowOff>19050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31</xdr:row>
          <xdr:rowOff>57150</xdr:rowOff>
        </xdr:from>
        <xdr:to>
          <xdr:col>16</xdr:col>
          <xdr:colOff>485775</xdr:colOff>
          <xdr:row>34</xdr:row>
          <xdr:rowOff>19050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2</xdr:row>
      <xdr:rowOff>146050</xdr:rowOff>
    </xdr:from>
    <xdr:to>
      <xdr:col>16</xdr:col>
      <xdr:colOff>307975</xdr:colOff>
      <xdr:row>22</xdr:row>
      <xdr:rowOff>12700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495300</xdr:colOff>
          <xdr:row>12</xdr:row>
          <xdr:rowOff>104775</xdr:rowOff>
        </xdr:from>
        <xdr:to>
          <xdr:col>23</xdr:col>
          <xdr:colOff>428625</xdr:colOff>
          <xdr:row>15</xdr:row>
          <xdr:rowOff>180975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361950</xdr:colOff>
          <xdr:row>25</xdr:row>
          <xdr:rowOff>66675</xdr:rowOff>
        </xdr:from>
        <xdr:to>
          <xdr:col>23</xdr:col>
          <xdr:colOff>161925</xdr:colOff>
          <xdr:row>28</xdr:row>
          <xdr:rowOff>9525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42</xdr:row>
          <xdr:rowOff>66675</xdr:rowOff>
        </xdr:from>
        <xdr:to>
          <xdr:col>10</xdr:col>
          <xdr:colOff>161925</xdr:colOff>
          <xdr:row>45</xdr:row>
          <xdr:rowOff>28575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51</xdr:row>
          <xdr:rowOff>104775</xdr:rowOff>
        </xdr:from>
        <xdr:to>
          <xdr:col>10</xdr:col>
          <xdr:colOff>428625</xdr:colOff>
          <xdr:row>55</xdr:row>
          <xdr:rowOff>19050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361950</xdr:colOff>
          <xdr:row>42</xdr:row>
          <xdr:rowOff>66675</xdr:rowOff>
        </xdr:from>
        <xdr:to>
          <xdr:col>22</xdr:col>
          <xdr:colOff>161925</xdr:colOff>
          <xdr:row>45</xdr:row>
          <xdr:rowOff>28575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495300</xdr:colOff>
          <xdr:row>51</xdr:row>
          <xdr:rowOff>104775</xdr:rowOff>
        </xdr:from>
        <xdr:to>
          <xdr:col>22</xdr:col>
          <xdr:colOff>428625</xdr:colOff>
          <xdr:row>55</xdr:row>
          <xdr:rowOff>19050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66</xdr:row>
          <xdr:rowOff>66675</xdr:rowOff>
        </xdr:from>
        <xdr:to>
          <xdr:col>10</xdr:col>
          <xdr:colOff>161925</xdr:colOff>
          <xdr:row>69</xdr:row>
          <xdr:rowOff>28575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75</xdr:row>
          <xdr:rowOff>104775</xdr:rowOff>
        </xdr:from>
        <xdr:to>
          <xdr:col>10</xdr:col>
          <xdr:colOff>428625</xdr:colOff>
          <xdr:row>79</xdr:row>
          <xdr:rowOff>19050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149225</xdr:colOff>
      <xdr:row>5</xdr:row>
      <xdr:rowOff>184150</xdr:rowOff>
    </xdr:from>
    <xdr:to>
      <xdr:col>14</xdr:col>
      <xdr:colOff>98425</xdr:colOff>
      <xdr:row>20</xdr:row>
      <xdr:rowOff>69850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yland" refreshedDate="45735.863784722198" createdVersion="5" refreshedVersion="5" minRefreshableVersion="3" recordCount="20">
  <cacheSource type="worksheet">
    <worksheetSource ref="C7:L27" sheet="BD"/>
  </cacheSource>
  <cacheFields count="11">
    <cacheField name="Nº" numFmtId="0">
      <sharedItems containsSemiMixedTypes="0" containsString="0" containsNumber="1" containsInteger="1" minValue="0" maxValue="1" count="1">
        <n v="1"/>
      </sharedItems>
    </cacheField>
    <cacheField name="Año" numFmtId="0">
      <sharedItems containsSemiMixedTypes="0" containsString="0" containsNumber="1" containsInteger="1" minValue="0" maxValue="2023" count="4">
        <n v="2019"/>
        <n v="2020"/>
        <n v="2018"/>
        <n v="2023"/>
      </sharedItems>
    </cacheField>
    <cacheField name="Edad" numFmtId="0">
      <sharedItems containsSemiMixedTypes="0" containsString="0" containsNumber="1" containsInteger="1" minValue="0" maxValue="92" count="15">
        <n v="84"/>
        <n v="87"/>
        <n v="83"/>
        <n v="76"/>
        <n v="59"/>
        <n v="56"/>
        <n v="78"/>
        <n v="88"/>
        <n v="90"/>
        <n v="75"/>
        <n v="89"/>
        <n v="92"/>
        <n v="91"/>
        <n v="74"/>
        <n v="77"/>
      </sharedItems>
    </cacheField>
    <cacheField name="Sexo" numFmtId="0">
      <sharedItems count="2">
        <s v="M"/>
        <s v="F"/>
      </sharedItems>
    </cacheField>
    <cacheField name="Tez Piel" numFmtId="0">
      <sharedItems count="3">
        <s v="B"/>
        <s v="N"/>
        <s v="M"/>
      </sharedItems>
    </cacheField>
    <cacheField name="Estado de Egreso" numFmtId="0">
      <sharedItems count="2">
        <s v="Fallecido"/>
        <s v="Vivo"/>
      </sharedItems>
    </cacheField>
    <cacheField name="Demora Diagnóstica" numFmtId="0">
      <sharedItems count="4">
        <s v="12 - 24 h"/>
        <s v="&gt; 48 h"/>
        <s v="24 - 48 h"/>
        <s v="&lt; 12 h"/>
      </sharedItems>
    </cacheField>
    <cacheField name="Extensión del Infarto" numFmtId="0">
      <sharedItems count="5">
        <s v="TAMS"/>
        <s v="Extenso"/>
        <s v="Segmentario"/>
        <s v="IMANO"/>
        <s v="TVMS"/>
      </sharedItems>
    </cacheField>
    <cacheField name="Causa de Muerte" numFmtId="0">
      <sharedItems count="3">
        <s v="PCR"/>
        <s v="FMO"/>
        <s v="No"/>
      </sharedItems>
    </cacheField>
    <cacheField name="Estadía Hospitalaria" numFmtId="0">
      <sharedItems count="3">
        <s v="4 días"/>
        <s v="9 días"/>
        <s v="1 día"/>
      </sharedItems>
    </cacheField>
    <cacheField name="APP" numFmtId="0">
      <sharedItems count="13">
        <s v="HTA, CI, UP"/>
        <s v="HTA, CI, DM"/>
        <s v="Epilepsia, UP"/>
        <s v="Epilepsia, DM"/>
        <s v="HTA, CI,  UP"/>
        <s v="HTA, DM"/>
        <s v="HTA, CI"/>
        <s v="DM, UP"/>
        <s v="Diverticulosis, DM, UP"/>
        <s v="HTA, UP"/>
        <s v="HTA, CI, DM, UP"/>
        <s v="Diverticulosis, UP"/>
        <s v="Diverticulosi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oyland" refreshedDate="45735.986747685201" createdVersion="5" refreshedVersion="5" minRefreshableVersion="3" recordCount="13">
  <cacheSource type="worksheet">
    <worksheetSource ref="J19:L32" sheet="Hoja9"/>
  </cacheSource>
  <cacheFields count="3">
    <cacheField name="nº" numFmtId="0">
      <sharedItems containsSemiMixedTypes="0" containsString="0" containsNumber="1" containsInteger="1" minValue="0" maxValue="1" count="1">
        <n v="1"/>
      </sharedItems>
    </cacheField>
    <cacheField name="sexo" numFmtId="0">
      <sharedItems count="2">
        <s v="M"/>
        <s v="F"/>
      </sharedItems>
    </cacheField>
    <cacheField name="causa de muerte" numFmtId="0">
      <sharedItems count="2">
        <s v="PCR"/>
        <s v="FM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1"/>
    <x v="1"/>
    <x v="1"/>
    <x v="0"/>
    <x v="1"/>
  </r>
  <r>
    <x v="0"/>
    <x v="0"/>
    <x v="2"/>
    <x v="0"/>
    <x v="1"/>
    <x v="1"/>
    <x v="0"/>
    <x v="2"/>
    <x v="2"/>
    <x v="1"/>
    <x v="2"/>
  </r>
  <r>
    <x v="0"/>
    <x v="0"/>
    <x v="3"/>
    <x v="0"/>
    <x v="0"/>
    <x v="0"/>
    <x v="0"/>
    <x v="1"/>
    <x v="0"/>
    <x v="0"/>
    <x v="1"/>
  </r>
  <r>
    <x v="0"/>
    <x v="0"/>
    <x v="4"/>
    <x v="0"/>
    <x v="0"/>
    <x v="1"/>
    <x v="0"/>
    <x v="2"/>
    <x v="2"/>
    <x v="1"/>
    <x v="3"/>
  </r>
  <r>
    <x v="0"/>
    <x v="1"/>
    <x v="5"/>
    <x v="0"/>
    <x v="1"/>
    <x v="0"/>
    <x v="2"/>
    <x v="1"/>
    <x v="1"/>
    <x v="0"/>
    <x v="4"/>
  </r>
  <r>
    <x v="0"/>
    <x v="1"/>
    <x v="6"/>
    <x v="1"/>
    <x v="0"/>
    <x v="1"/>
    <x v="2"/>
    <x v="3"/>
    <x v="2"/>
    <x v="1"/>
    <x v="2"/>
  </r>
  <r>
    <x v="0"/>
    <x v="0"/>
    <x v="7"/>
    <x v="0"/>
    <x v="0"/>
    <x v="0"/>
    <x v="2"/>
    <x v="0"/>
    <x v="1"/>
    <x v="0"/>
    <x v="5"/>
  </r>
  <r>
    <x v="0"/>
    <x v="1"/>
    <x v="8"/>
    <x v="1"/>
    <x v="0"/>
    <x v="0"/>
    <x v="1"/>
    <x v="1"/>
    <x v="1"/>
    <x v="0"/>
    <x v="6"/>
  </r>
  <r>
    <x v="0"/>
    <x v="2"/>
    <x v="3"/>
    <x v="0"/>
    <x v="1"/>
    <x v="0"/>
    <x v="2"/>
    <x v="0"/>
    <x v="0"/>
    <x v="0"/>
    <x v="6"/>
  </r>
  <r>
    <x v="0"/>
    <x v="2"/>
    <x v="9"/>
    <x v="1"/>
    <x v="1"/>
    <x v="1"/>
    <x v="3"/>
    <x v="3"/>
    <x v="2"/>
    <x v="1"/>
    <x v="7"/>
  </r>
  <r>
    <x v="0"/>
    <x v="0"/>
    <x v="2"/>
    <x v="1"/>
    <x v="1"/>
    <x v="1"/>
    <x v="3"/>
    <x v="2"/>
    <x v="2"/>
    <x v="1"/>
    <x v="8"/>
  </r>
  <r>
    <x v="0"/>
    <x v="1"/>
    <x v="10"/>
    <x v="0"/>
    <x v="0"/>
    <x v="0"/>
    <x v="2"/>
    <x v="0"/>
    <x v="0"/>
    <x v="0"/>
    <x v="9"/>
  </r>
  <r>
    <x v="0"/>
    <x v="2"/>
    <x v="11"/>
    <x v="0"/>
    <x v="0"/>
    <x v="0"/>
    <x v="1"/>
    <x v="1"/>
    <x v="1"/>
    <x v="0"/>
    <x v="6"/>
  </r>
  <r>
    <x v="0"/>
    <x v="2"/>
    <x v="12"/>
    <x v="1"/>
    <x v="0"/>
    <x v="0"/>
    <x v="1"/>
    <x v="0"/>
    <x v="1"/>
    <x v="0"/>
    <x v="10"/>
  </r>
  <r>
    <x v="0"/>
    <x v="2"/>
    <x v="9"/>
    <x v="0"/>
    <x v="0"/>
    <x v="0"/>
    <x v="2"/>
    <x v="4"/>
    <x v="0"/>
    <x v="0"/>
    <x v="6"/>
  </r>
  <r>
    <x v="0"/>
    <x v="2"/>
    <x v="13"/>
    <x v="0"/>
    <x v="2"/>
    <x v="0"/>
    <x v="2"/>
    <x v="1"/>
    <x v="1"/>
    <x v="0"/>
    <x v="6"/>
  </r>
  <r>
    <x v="0"/>
    <x v="2"/>
    <x v="14"/>
    <x v="1"/>
    <x v="2"/>
    <x v="1"/>
    <x v="3"/>
    <x v="2"/>
    <x v="2"/>
    <x v="1"/>
    <x v="11"/>
  </r>
  <r>
    <x v="0"/>
    <x v="3"/>
    <x v="9"/>
    <x v="0"/>
    <x v="0"/>
    <x v="0"/>
    <x v="1"/>
    <x v="1"/>
    <x v="1"/>
    <x v="2"/>
    <x v="10"/>
  </r>
  <r>
    <x v="0"/>
    <x v="3"/>
    <x v="1"/>
    <x v="1"/>
    <x v="0"/>
    <x v="1"/>
    <x v="3"/>
    <x v="2"/>
    <x v="2"/>
    <x v="1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x v="0"/>
    <x v="0"/>
    <x v="0"/>
  </r>
  <r>
    <x v="0"/>
    <x v="1"/>
    <x v="1"/>
  </r>
  <r>
    <x v="0"/>
    <x v="0"/>
    <x v="0"/>
  </r>
  <r>
    <x v="0"/>
    <x v="0"/>
    <x v="1"/>
  </r>
  <r>
    <x v="0"/>
    <x v="0"/>
    <x v="1"/>
  </r>
  <r>
    <x v="0"/>
    <x v="1"/>
    <x v="1"/>
  </r>
  <r>
    <x v="0"/>
    <x v="0"/>
    <x v="0"/>
  </r>
  <r>
    <x v="0"/>
    <x v="0"/>
    <x v="0"/>
  </r>
  <r>
    <x v="0"/>
    <x v="0"/>
    <x v="1"/>
  </r>
  <r>
    <x v="0"/>
    <x v="1"/>
    <x v="1"/>
  </r>
  <r>
    <x v="0"/>
    <x v="0"/>
    <x v="0"/>
  </r>
  <r>
    <x v="0"/>
    <x v="0"/>
    <x v="1"/>
  </r>
  <r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_x000a_dinámica2" cacheId="0" applyNumberFormats="0" applyBorderFormats="0" applyFontFormats="0" applyPatternFormats="0" applyAlignmentFormats="0" applyWidthHeightFormats="1" dataCaption="Valores" updatedVersion="5" minRefreshableVersion="3" useAutoFormatting="1" createdVersion="5" indent="0" compact="0" outline="1" outlineData="1" compactData="0" multipleFieldFilters="0" chartFormat="2">
  <location ref="A3:D9" firstHeaderRow="1" firstDataRow="2" firstDataCol="1"/>
  <pivotFields count="11">
    <pivotField dataField="1" compact="0" showAll="0">
      <items count="2">
        <item x="0"/>
        <item t="default"/>
      </items>
    </pivotField>
    <pivotField axis="axisRow" compact="0" showAll="0">
      <items count="5">
        <item x="2"/>
        <item x="0"/>
        <item x="1"/>
        <item x="3"/>
        <item t="default"/>
      </items>
    </pivotField>
    <pivotField compact="0" showAll="0"/>
    <pivotField axis="axisCol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a de Nº" fld="0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_x000a_dinámica1" cacheId="1" applyNumberFormats="0" applyBorderFormats="0" applyFontFormats="0" applyPatternFormats="0" applyAlignmentFormats="0" applyWidthHeightFormats="1" dataCaption="Valores" updatedVersion="5" minRefreshableVersion="3" useAutoFormatting="1" createdVersion="5" indent="0" compact="0" outline="1" outlineData="1" compactData="0" multipleFieldFilters="0" chartFormat="2">
  <location ref="A3:D7" firstHeaderRow="1" firstDataRow="2" firstDataCol="1"/>
  <pivotFields count="3">
    <pivotField dataField="1" compact="0" showAll="0">
      <items count="2">
        <item x="0"/>
        <item t="default"/>
      </items>
    </pivotField>
    <pivotField axis="axisCol" compact="0" showAll="0">
      <items count="3">
        <item x="1"/>
        <item x="0"/>
        <item t="default"/>
      </items>
    </pivotField>
    <pivotField axis="axisRow" compact="0" showAll="0">
      <items count="3">
        <item x="1"/>
        <item x="0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a de nº" fld="0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wmf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0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wmf"/><Relationship Id="rId17" Type="http://schemas.openxmlformats.org/officeDocument/2006/relationships/oleObject" Target="../embeddings/oleObject8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wmf"/><Relationship Id="rId20" Type="http://schemas.openxmlformats.org/officeDocument/2006/relationships/image" Target="../media/image9.wmf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4.wmf"/><Relationship Id="rId19" Type="http://schemas.openxmlformats.org/officeDocument/2006/relationships/oleObject" Target="../embeddings/oleObject9.bin"/><Relationship Id="rId4" Type="http://schemas.openxmlformats.org/officeDocument/2006/relationships/image" Target="../media/image1.w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wmf"/><Relationship Id="rId22" Type="http://schemas.openxmlformats.org/officeDocument/2006/relationships/image" Target="../media/image10.w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3" Type="http://schemas.openxmlformats.org/officeDocument/2006/relationships/oleObject" Target="../embeddings/oleObject11.bin"/><Relationship Id="rId7" Type="http://schemas.openxmlformats.org/officeDocument/2006/relationships/oleObject" Target="../embeddings/oleObject13.bin"/><Relationship Id="rId12" Type="http://schemas.openxmlformats.org/officeDocument/2006/relationships/oleObject" Target="../embeddings/oleObject18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image" Target="../media/image10.wmf"/><Relationship Id="rId11" Type="http://schemas.openxmlformats.org/officeDocument/2006/relationships/oleObject" Target="../embeddings/oleObject17.bin"/><Relationship Id="rId5" Type="http://schemas.openxmlformats.org/officeDocument/2006/relationships/oleObject" Target="../embeddings/oleObject12.bin"/><Relationship Id="rId10" Type="http://schemas.openxmlformats.org/officeDocument/2006/relationships/oleObject" Target="../embeddings/oleObject16.bin"/><Relationship Id="rId4" Type="http://schemas.openxmlformats.org/officeDocument/2006/relationships/image" Target="../media/image9.wmf"/><Relationship Id="rId9" Type="http://schemas.openxmlformats.org/officeDocument/2006/relationships/oleObject" Target="../embeddings/oleObject1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34"/>
  <sheetViews>
    <sheetView tabSelected="1" workbookViewId="0">
      <selection activeCell="M8" sqref="M8"/>
    </sheetView>
  </sheetViews>
  <sheetFormatPr baseColWidth="10" defaultColWidth="9" defaultRowHeight="15"/>
  <cols>
    <col min="5" max="5" width="12" customWidth="1"/>
    <col min="6" max="6" width="10.7109375" customWidth="1"/>
    <col min="7" max="7" width="11.28515625" customWidth="1"/>
    <col min="8" max="8" width="20.28515625" customWidth="1"/>
    <col min="9" max="9" width="23" customWidth="1"/>
    <col min="10" max="10" width="24.5703125" customWidth="1"/>
    <col min="11" max="11" width="19" customWidth="1"/>
    <col min="12" max="12" width="21.7109375" customWidth="1"/>
    <col min="13" max="13" width="40.7109375" customWidth="1"/>
  </cols>
  <sheetData>
    <row r="3" spans="3:18">
      <c r="C3" s="123" t="s">
        <v>0</v>
      </c>
      <c r="D3" s="124"/>
      <c r="E3" s="124"/>
      <c r="F3" s="124"/>
      <c r="G3" s="124"/>
      <c r="H3" s="124"/>
      <c r="I3" s="124"/>
      <c r="J3" s="124"/>
      <c r="K3" s="124"/>
    </row>
    <row r="4" spans="3:18">
      <c r="C4" s="123" t="s">
        <v>1</v>
      </c>
      <c r="D4" s="123"/>
      <c r="E4" s="123"/>
      <c r="F4" s="123"/>
      <c r="G4" s="123"/>
      <c r="H4" s="123"/>
      <c r="I4" s="123"/>
      <c r="J4" s="123"/>
      <c r="K4" s="123"/>
    </row>
    <row r="6" spans="3:18">
      <c r="C6" s="125" t="s">
        <v>2</v>
      </c>
      <c r="D6" s="125"/>
      <c r="E6" s="125"/>
      <c r="F6" s="125"/>
      <c r="G6" s="125"/>
      <c r="H6" s="125"/>
      <c r="I6" s="125"/>
      <c r="J6" s="125"/>
      <c r="K6" s="125"/>
      <c r="L6" s="125"/>
      <c r="M6" s="51"/>
    </row>
    <row r="7" spans="3:18"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120" t="s">
        <v>13</v>
      </c>
      <c r="R7" s="122"/>
    </row>
    <row r="8" spans="3:18">
      <c r="C8" s="1">
        <v>1</v>
      </c>
      <c r="D8">
        <v>2019</v>
      </c>
      <c r="E8">
        <v>84</v>
      </c>
      <c r="F8" t="s">
        <v>14</v>
      </c>
      <c r="G8" t="s">
        <v>15</v>
      </c>
      <c r="H8" t="s">
        <v>16</v>
      </c>
      <c r="I8" s="121" t="s">
        <v>17</v>
      </c>
      <c r="J8" t="s">
        <v>18</v>
      </c>
      <c r="K8" t="s">
        <v>19</v>
      </c>
      <c r="L8" t="s">
        <v>20</v>
      </c>
      <c r="M8" t="s">
        <v>21</v>
      </c>
    </row>
    <row r="9" spans="3:18">
      <c r="C9" s="1">
        <v>1</v>
      </c>
      <c r="D9">
        <v>2019</v>
      </c>
      <c r="E9">
        <v>87</v>
      </c>
      <c r="F9" t="s">
        <v>22</v>
      </c>
      <c r="G9" t="s">
        <v>15</v>
      </c>
      <c r="H9" t="s">
        <v>16</v>
      </c>
      <c r="I9" s="121" t="s">
        <v>23</v>
      </c>
      <c r="J9" t="s">
        <v>24</v>
      </c>
      <c r="K9" t="s">
        <v>25</v>
      </c>
      <c r="L9" t="s">
        <v>26</v>
      </c>
      <c r="M9" t="s">
        <v>21</v>
      </c>
    </row>
    <row r="10" spans="3:18">
      <c r="C10" s="1">
        <v>1</v>
      </c>
      <c r="D10">
        <v>2019</v>
      </c>
      <c r="E10">
        <v>83</v>
      </c>
      <c r="F10" t="s">
        <v>14</v>
      </c>
      <c r="G10" t="s">
        <v>27</v>
      </c>
      <c r="H10" t="s">
        <v>28</v>
      </c>
      <c r="I10" s="121" t="s">
        <v>17</v>
      </c>
      <c r="J10" t="s">
        <v>29</v>
      </c>
      <c r="K10" t="s">
        <v>30</v>
      </c>
      <c r="L10" t="s">
        <v>31</v>
      </c>
      <c r="M10" t="s">
        <v>32</v>
      </c>
    </row>
    <row r="11" spans="3:18">
      <c r="C11" s="1">
        <v>1</v>
      </c>
      <c r="D11">
        <v>2019</v>
      </c>
      <c r="E11">
        <v>76</v>
      </c>
      <c r="F11" t="s">
        <v>14</v>
      </c>
      <c r="G11" t="s">
        <v>15</v>
      </c>
      <c r="H11" t="s">
        <v>16</v>
      </c>
      <c r="I11" s="121" t="s">
        <v>17</v>
      </c>
      <c r="J11" t="s">
        <v>24</v>
      </c>
      <c r="K11" t="s">
        <v>19</v>
      </c>
      <c r="L11" t="s">
        <v>26</v>
      </c>
      <c r="M11" t="s">
        <v>21</v>
      </c>
    </row>
    <row r="12" spans="3:18">
      <c r="C12" s="1">
        <v>1</v>
      </c>
      <c r="D12">
        <v>2019</v>
      </c>
      <c r="E12">
        <v>59</v>
      </c>
      <c r="F12" t="s">
        <v>14</v>
      </c>
      <c r="G12" t="s">
        <v>15</v>
      </c>
      <c r="H12" t="s">
        <v>28</v>
      </c>
      <c r="I12" s="121" t="s">
        <v>17</v>
      </c>
      <c r="J12" t="s">
        <v>29</v>
      </c>
      <c r="K12" t="s">
        <v>30</v>
      </c>
      <c r="L12" t="s">
        <v>33</v>
      </c>
      <c r="M12" t="s">
        <v>32</v>
      </c>
    </row>
    <row r="13" spans="3:18">
      <c r="C13" s="1">
        <v>1</v>
      </c>
      <c r="D13">
        <v>2020</v>
      </c>
      <c r="E13">
        <v>56</v>
      </c>
      <c r="F13" t="s">
        <v>14</v>
      </c>
      <c r="G13" t="s">
        <v>27</v>
      </c>
      <c r="H13" t="s">
        <v>16</v>
      </c>
      <c r="I13" s="121" t="s">
        <v>34</v>
      </c>
      <c r="J13" t="s">
        <v>24</v>
      </c>
      <c r="K13" t="s">
        <v>25</v>
      </c>
      <c r="L13" t="s">
        <v>35</v>
      </c>
      <c r="M13" t="s">
        <v>21</v>
      </c>
    </row>
    <row r="14" spans="3:18">
      <c r="C14" s="1">
        <v>1</v>
      </c>
      <c r="D14">
        <v>2020</v>
      </c>
      <c r="E14">
        <v>78</v>
      </c>
      <c r="F14" t="s">
        <v>22</v>
      </c>
      <c r="G14" t="s">
        <v>15</v>
      </c>
      <c r="H14" t="s">
        <v>28</v>
      </c>
      <c r="I14" s="121" t="s">
        <v>34</v>
      </c>
      <c r="J14" t="s">
        <v>36</v>
      </c>
      <c r="K14" t="s">
        <v>30</v>
      </c>
      <c r="L14" t="s">
        <v>31</v>
      </c>
      <c r="M14" t="s">
        <v>37</v>
      </c>
    </row>
    <row r="15" spans="3:18">
      <c r="C15" s="1">
        <v>1</v>
      </c>
      <c r="D15">
        <v>2019</v>
      </c>
      <c r="E15">
        <v>88</v>
      </c>
      <c r="F15" t="s">
        <v>14</v>
      </c>
      <c r="G15" t="s">
        <v>15</v>
      </c>
      <c r="H15" t="s">
        <v>16</v>
      </c>
      <c r="I15" s="121" t="s">
        <v>34</v>
      </c>
      <c r="J15" t="s">
        <v>18</v>
      </c>
      <c r="K15" t="s">
        <v>25</v>
      </c>
      <c r="L15" t="s">
        <v>38</v>
      </c>
      <c r="M15" t="s">
        <v>21</v>
      </c>
    </row>
    <row r="16" spans="3:18">
      <c r="C16" s="1">
        <v>1</v>
      </c>
      <c r="D16">
        <v>2020</v>
      </c>
      <c r="E16">
        <v>90</v>
      </c>
      <c r="F16" t="s">
        <v>22</v>
      </c>
      <c r="G16" t="s">
        <v>15</v>
      </c>
      <c r="H16" t="s">
        <v>16</v>
      </c>
      <c r="I16" s="121" t="s">
        <v>23</v>
      </c>
      <c r="J16" t="s">
        <v>24</v>
      </c>
      <c r="K16" t="s">
        <v>25</v>
      </c>
      <c r="L16" t="s">
        <v>39</v>
      </c>
      <c r="M16" t="s">
        <v>21</v>
      </c>
    </row>
    <row r="17" spans="3:13">
      <c r="C17" s="1">
        <v>1</v>
      </c>
      <c r="D17">
        <v>2018</v>
      </c>
      <c r="E17">
        <v>76</v>
      </c>
      <c r="F17" t="s">
        <v>14</v>
      </c>
      <c r="G17" t="s">
        <v>27</v>
      </c>
      <c r="H17" t="s">
        <v>16</v>
      </c>
      <c r="I17" s="121" t="s">
        <v>34</v>
      </c>
      <c r="J17" t="s">
        <v>18</v>
      </c>
      <c r="K17" t="s">
        <v>19</v>
      </c>
      <c r="L17" t="s">
        <v>39</v>
      </c>
      <c r="M17" t="s">
        <v>21</v>
      </c>
    </row>
    <row r="18" spans="3:13">
      <c r="C18" s="1">
        <v>1</v>
      </c>
      <c r="D18">
        <v>2018</v>
      </c>
      <c r="E18">
        <v>75</v>
      </c>
      <c r="F18" t="s">
        <v>22</v>
      </c>
      <c r="G18" t="s">
        <v>27</v>
      </c>
      <c r="H18" t="s">
        <v>28</v>
      </c>
      <c r="I18" s="121" t="s">
        <v>40</v>
      </c>
      <c r="J18" t="s">
        <v>36</v>
      </c>
      <c r="K18" t="s">
        <v>30</v>
      </c>
      <c r="L18" t="s">
        <v>41</v>
      </c>
      <c r="M18" t="s">
        <v>37</v>
      </c>
    </row>
    <row r="19" spans="3:13">
      <c r="C19" s="1">
        <v>1</v>
      </c>
      <c r="D19">
        <v>2019</v>
      </c>
      <c r="E19">
        <v>83</v>
      </c>
      <c r="F19" t="s">
        <v>22</v>
      </c>
      <c r="G19" t="s">
        <v>27</v>
      </c>
      <c r="H19" t="s">
        <v>28</v>
      </c>
      <c r="I19" s="121" t="s">
        <v>40</v>
      </c>
      <c r="J19" t="s">
        <v>29</v>
      </c>
      <c r="K19" t="s">
        <v>30</v>
      </c>
      <c r="L19" t="s">
        <v>42</v>
      </c>
      <c r="M19" t="s">
        <v>43</v>
      </c>
    </row>
    <row r="20" spans="3:13">
      <c r="C20" s="1">
        <v>1</v>
      </c>
      <c r="D20">
        <v>2020</v>
      </c>
      <c r="E20">
        <v>89</v>
      </c>
      <c r="F20" t="s">
        <v>14</v>
      </c>
      <c r="G20" t="s">
        <v>15</v>
      </c>
      <c r="H20" t="s">
        <v>16</v>
      </c>
      <c r="I20" s="121" t="s">
        <v>34</v>
      </c>
      <c r="J20" t="s">
        <v>18</v>
      </c>
      <c r="K20" t="s">
        <v>19</v>
      </c>
      <c r="L20" t="s">
        <v>44</v>
      </c>
      <c r="M20" t="s">
        <v>21</v>
      </c>
    </row>
    <row r="21" spans="3:13">
      <c r="C21" s="1">
        <v>1</v>
      </c>
      <c r="D21">
        <v>2018</v>
      </c>
      <c r="E21">
        <v>92</v>
      </c>
      <c r="F21" t="s">
        <v>14</v>
      </c>
      <c r="G21" t="s">
        <v>15</v>
      </c>
      <c r="H21" t="s">
        <v>16</v>
      </c>
      <c r="I21" s="121" t="s">
        <v>23</v>
      </c>
      <c r="J21" t="s">
        <v>24</v>
      </c>
      <c r="K21" t="s">
        <v>25</v>
      </c>
      <c r="L21" t="s">
        <v>39</v>
      </c>
      <c r="M21" t="s">
        <v>21</v>
      </c>
    </row>
    <row r="22" spans="3:13">
      <c r="C22" s="1">
        <v>1</v>
      </c>
      <c r="D22">
        <v>2018</v>
      </c>
      <c r="E22">
        <v>91</v>
      </c>
      <c r="F22" t="s">
        <v>22</v>
      </c>
      <c r="G22" t="s">
        <v>15</v>
      </c>
      <c r="H22" t="s">
        <v>16</v>
      </c>
      <c r="I22" s="121" t="s">
        <v>23</v>
      </c>
      <c r="J22" t="s">
        <v>18</v>
      </c>
      <c r="K22" t="s">
        <v>25</v>
      </c>
      <c r="L22" t="s">
        <v>45</v>
      </c>
      <c r="M22" t="s">
        <v>21</v>
      </c>
    </row>
    <row r="23" spans="3:13">
      <c r="C23" s="1">
        <v>1</v>
      </c>
      <c r="D23">
        <v>2018</v>
      </c>
      <c r="E23">
        <v>75</v>
      </c>
      <c r="F23" t="s">
        <v>14</v>
      </c>
      <c r="G23" t="s">
        <v>15</v>
      </c>
      <c r="H23" t="s">
        <v>16</v>
      </c>
      <c r="I23" s="121" t="s">
        <v>34</v>
      </c>
      <c r="J23" t="s">
        <v>46</v>
      </c>
      <c r="K23" t="s">
        <v>19</v>
      </c>
      <c r="L23" t="s">
        <v>39</v>
      </c>
      <c r="M23" t="s">
        <v>21</v>
      </c>
    </row>
    <row r="24" spans="3:13">
      <c r="C24" s="1">
        <v>1</v>
      </c>
      <c r="D24">
        <v>2018</v>
      </c>
      <c r="E24">
        <v>74</v>
      </c>
      <c r="F24" t="s">
        <v>14</v>
      </c>
      <c r="G24" t="s">
        <v>14</v>
      </c>
      <c r="H24" t="s">
        <v>16</v>
      </c>
      <c r="I24" s="121" t="s">
        <v>34</v>
      </c>
      <c r="J24" t="s">
        <v>24</v>
      </c>
      <c r="K24" t="s">
        <v>25</v>
      </c>
      <c r="L24" t="s">
        <v>39</v>
      </c>
      <c r="M24" t="s">
        <v>21</v>
      </c>
    </row>
    <row r="25" spans="3:13">
      <c r="C25" s="1">
        <v>1</v>
      </c>
      <c r="D25">
        <v>2018</v>
      </c>
      <c r="E25">
        <v>77</v>
      </c>
      <c r="F25" t="s">
        <v>22</v>
      </c>
      <c r="G25" t="s">
        <v>14</v>
      </c>
      <c r="H25" t="s">
        <v>28</v>
      </c>
      <c r="I25" s="121" t="s">
        <v>40</v>
      </c>
      <c r="J25" t="s">
        <v>29</v>
      </c>
      <c r="K25" t="s">
        <v>30</v>
      </c>
      <c r="L25" t="s">
        <v>47</v>
      </c>
      <c r="M25" t="s">
        <v>48</v>
      </c>
    </row>
    <row r="26" spans="3:13">
      <c r="C26" s="1">
        <v>1</v>
      </c>
      <c r="D26">
        <v>2023</v>
      </c>
      <c r="E26">
        <v>75</v>
      </c>
      <c r="F26" t="s">
        <v>14</v>
      </c>
      <c r="G26" t="s">
        <v>15</v>
      </c>
      <c r="H26" t="s">
        <v>16</v>
      </c>
      <c r="I26" s="121" t="s">
        <v>23</v>
      </c>
      <c r="J26" t="s">
        <v>24</v>
      </c>
      <c r="K26" t="s">
        <v>25</v>
      </c>
      <c r="L26" t="s">
        <v>45</v>
      </c>
      <c r="M26" t="s">
        <v>21</v>
      </c>
    </row>
    <row r="27" spans="3:13">
      <c r="C27" s="1">
        <v>1</v>
      </c>
      <c r="D27">
        <v>2023</v>
      </c>
      <c r="E27">
        <v>87</v>
      </c>
      <c r="F27" t="s">
        <v>22</v>
      </c>
      <c r="G27" t="s">
        <v>15</v>
      </c>
      <c r="H27" t="s">
        <v>28</v>
      </c>
      <c r="I27" s="121" t="s">
        <v>40</v>
      </c>
      <c r="J27" t="s">
        <v>29</v>
      </c>
      <c r="K27" t="s">
        <v>30</v>
      </c>
      <c r="L27" t="s">
        <v>49</v>
      </c>
      <c r="M27" t="s">
        <v>32</v>
      </c>
    </row>
    <row r="28" spans="3:13">
      <c r="C28" s="1"/>
      <c r="D28" s="1"/>
      <c r="E28" s="1"/>
      <c r="F28" s="1"/>
      <c r="G28" s="1"/>
      <c r="H28" s="1"/>
      <c r="I28" s="1"/>
      <c r="J28" s="1"/>
      <c r="K28" s="1"/>
      <c r="L28" s="1"/>
      <c r="M28" s="51"/>
    </row>
    <row r="29" spans="3:13">
      <c r="C29" s="115" t="s">
        <v>50</v>
      </c>
      <c r="D29" s="116">
        <f>SUM(C8:C27)</f>
        <v>20</v>
      </c>
      <c r="E29" s="115" t="s">
        <v>51</v>
      </c>
      <c r="F29" s="56">
        <f>STDEV(E8:E27)</f>
        <v>9.7703902847219695</v>
      </c>
      <c r="G29" s="115" t="s">
        <v>52</v>
      </c>
      <c r="H29" s="117">
        <v>56</v>
      </c>
      <c r="I29" s="1"/>
      <c r="J29" s="1"/>
      <c r="K29" s="1"/>
      <c r="L29" s="1"/>
      <c r="M29" s="51"/>
    </row>
    <row r="30" spans="3:13">
      <c r="C30" s="1"/>
      <c r="D30" s="1"/>
      <c r="E30" s="115" t="s">
        <v>53</v>
      </c>
      <c r="F30" s="117">
        <f>AVERAGE(E8:E27)</f>
        <v>79.75</v>
      </c>
      <c r="G30" s="115" t="s">
        <v>54</v>
      </c>
      <c r="H30" s="117">
        <v>92</v>
      </c>
      <c r="I30" s="1"/>
      <c r="J30" s="1"/>
      <c r="K30" s="1"/>
      <c r="L30" s="1"/>
      <c r="M30" s="51"/>
    </row>
    <row r="31" spans="3:13">
      <c r="C31" s="1"/>
      <c r="D31" s="1"/>
      <c r="E31" s="1"/>
      <c r="F31" s="1"/>
      <c r="G31" s="1"/>
      <c r="H31" s="1"/>
      <c r="I31" s="1"/>
      <c r="J31" s="1"/>
      <c r="K31" s="1"/>
      <c r="L31" s="1"/>
      <c r="M31" s="51"/>
    </row>
    <row r="33" spans="5:5">
      <c r="E33" s="118"/>
    </row>
    <row r="34" spans="5:5">
      <c r="E34" s="119"/>
    </row>
  </sheetData>
  <autoFilter ref="C7:M27"/>
  <mergeCells count="3">
    <mergeCell ref="C3:K3"/>
    <mergeCell ref="C4:K4"/>
    <mergeCell ref="C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54"/>
  <sheetViews>
    <sheetView topLeftCell="A10" workbookViewId="0">
      <selection activeCell="K46" sqref="K46"/>
    </sheetView>
  </sheetViews>
  <sheetFormatPr baseColWidth="10" defaultColWidth="9.140625" defaultRowHeight="15"/>
  <cols>
    <col min="2" max="2" width="22.85546875" customWidth="1"/>
    <col min="3" max="3" width="16" customWidth="1"/>
    <col min="10" max="10" width="14" customWidth="1"/>
    <col min="11" max="11" width="23.5703125" customWidth="1"/>
    <col min="16" max="16" width="12.85546875"/>
    <col min="19" max="19" width="10.42578125" customWidth="1"/>
    <col min="20" max="20" width="11.28515625" customWidth="1"/>
    <col min="24" max="24" width="24.42578125" customWidth="1"/>
  </cols>
  <sheetData>
    <row r="2" spans="2:27">
      <c r="M2" s="126" t="s">
        <v>55</v>
      </c>
      <c r="N2" s="126"/>
      <c r="O2" s="126"/>
      <c r="P2" s="126"/>
      <c r="U2" s="4" t="s">
        <v>56</v>
      </c>
      <c r="X2" s="98" t="s">
        <v>57</v>
      </c>
      <c r="Y2" s="98"/>
      <c r="Z2" s="98"/>
      <c r="AA2" s="98"/>
    </row>
    <row r="3" spans="2:27" ht="15.75">
      <c r="M3" s="127"/>
      <c r="N3" s="127"/>
      <c r="O3" s="127"/>
      <c r="U3" s="99"/>
      <c r="X3" s="98" t="s">
        <v>58</v>
      </c>
      <c r="Y3" s="1"/>
      <c r="Z3" s="1"/>
      <c r="AA3" s="1"/>
    </row>
    <row r="4" spans="2:27">
      <c r="M4" s="127"/>
      <c r="N4" s="127"/>
      <c r="O4" s="127"/>
      <c r="X4" s="100"/>
      <c r="Y4" s="106" t="s">
        <v>59</v>
      </c>
      <c r="Z4" s="106" t="s">
        <v>60</v>
      </c>
    </row>
    <row r="5" spans="2:27">
      <c r="B5" s="150" t="s">
        <v>61</v>
      </c>
      <c r="C5" s="159"/>
      <c r="D5" s="128" t="s">
        <v>59</v>
      </c>
      <c r="E5" s="129"/>
      <c r="F5" s="128" t="s">
        <v>60</v>
      </c>
      <c r="G5" s="128"/>
      <c r="H5" s="128" t="s">
        <v>62</v>
      </c>
      <c r="I5" s="128"/>
      <c r="J5" s="128" t="s">
        <v>63</v>
      </c>
      <c r="K5" s="128" t="s">
        <v>64</v>
      </c>
      <c r="X5" s="101" t="s">
        <v>65</v>
      </c>
      <c r="Y5" s="107">
        <v>2</v>
      </c>
      <c r="Z5" s="107">
        <v>3</v>
      </c>
    </row>
    <row r="6" spans="2:27">
      <c r="B6" s="160"/>
      <c r="C6" s="161"/>
      <c r="D6" s="5" t="s">
        <v>3</v>
      </c>
      <c r="E6" s="3" t="s">
        <v>66</v>
      </c>
      <c r="F6" s="5" t="s">
        <v>3</v>
      </c>
      <c r="G6" s="5" t="s">
        <v>66</v>
      </c>
      <c r="H6" s="5" t="s">
        <v>3</v>
      </c>
      <c r="I6" s="5" t="s">
        <v>66</v>
      </c>
      <c r="J6" s="154"/>
      <c r="K6" s="154"/>
      <c r="M6" s="42" t="s">
        <v>67</v>
      </c>
      <c r="X6" s="101" t="s">
        <v>68</v>
      </c>
      <c r="Y6" s="108">
        <v>6</v>
      </c>
      <c r="Z6" s="108">
        <v>6</v>
      </c>
    </row>
    <row r="7" spans="2:27">
      <c r="B7" s="150" t="s">
        <v>69</v>
      </c>
      <c r="C7" s="6" t="s">
        <v>70</v>
      </c>
      <c r="D7" s="7">
        <v>0</v>
      </c>
      <c r="E7" s="12">
        <f>$D7/H$11*100</f>
        <v>0</v>
      </c>
      <c r="F7" s="7">
        <v>2</v>
      </c>
      <c r="G7" s="8">
        <f>$F7/H$11*100</f>
        <v>10</v>
      </c>
      <c r="H7" s="76">
        <v>2</v>
      </c>
      <c r="I7" s="80">
        <f>$H7/H$11*100</f>
        <v>10</v>
      </c>
      <c r="J7" s="141">
        <v>-0.57999999999999996</v>
      </c>
      <c r="K7" s="158">
        <v>0.57999999999999996</v>
      </c>
      <c r="O7" s="42" t="s">
        <v>71</v>
      </c>
      <c r="R7" s="130" t="s">
        <v>72</v>
      </c>
      <c r="S7" s="130"/>
      <c r="T7" s="130"/>
      <c r="X7" s="101" t="s">
        <v>73</v>
      </c>
      <c r="Y7" s="107">
        <v>4</v>
      </c>
      <c r="Z7" s="107">
        <v>4</v>
      </c>
    </row>
    <row r="8" spans="2:27">
      <c r="B8" s="151"/>
      <c r="C8" s="10" t="s">
        <v>74</v>
      </c>
      <c r="D8" s="11">
        <v>0</v>
      </c>
      <c r="E8" s="12">
        <f>$D8/H$11*100</f>
        <v>0</v>
      </c>
      <c r="F8" s="11">
        <v>0</v>
      </c>
      <c r="G8" s="12">
        <f>$F8/H$11*100</f>
        <v>0</v>
      </c>
      <c r="H8" s="77">
        <v>0</v>
      </c>
      <c r="I8" s="83">
        <f>$H8/H$11*100</f>
        <v>0</v>
      </c>
      <c r="J8" s="141"/>
      <c r="K8" s="158"/>
      <c r="O8" s="62" t="s">
        <v>75</v>
      </c>
      <c r="P8" s="56">
        <f>AVERAGE(S17:S20)</f>
        <v>2</v>
      </c>
      <c r="R8" s="62" t="s">
        <v>76</v>
      </c>
      <c r="S8" s="66">
        <f>COUNT(S17:S20)</f>
        <v>4</v>
      </c>
      <c r="U8" s="95">
        <f>_xlfn.VAR.S(S17:S20)</f>
        <v>6</v>
      </c>
      <c r="X8" s="101" t="s">
        <v>77</v>
      </c>
      <c r="Y8" s="108">
        <v>6</v>
      </c>
      <c r="Z8" s="107"/>
    </row>
    <row r="9" spans="2:27">
      <c r="B9" s="151"/>
      <c r="C9" s="10" t="s">
        <v>78</v>
      </c>
      <c r="D9" s="11">
        <v>3</v>
      </c>
      <c r="E9" s="12">
        <f>$D9/H$11*100</f>
        <v>15</v>
      </c>
      <c r="F9" s="11">
        <v>5</v>
      </c>
      <c r="G9" s="12">
        <f>$F9/H$11*100</f>
        <v>25</v>
      </c>
      <c r="H9" s="77">
        <v>8</v>
      </c>
      <c r="I9" s="83">
        <f>$H9/H$11*100</f>
        <v>40</v>
      </c>
      <c r="J9" s="141"/>
      <c r="K9" s="158"/>
      <c r="O9" s="62" t="s">
        <v>79</v>
      </c>
      <c r="P9" s="56">
        <f>AVERAGE(T17:T20)</f>
        <v>3</v>
      </c>
      <c r="R9" s="62" t="s">
        <v>80</v>
      </c>
      <c r="S9" s="66">
        <f>COUNT(T17:T20)</f>
        <v>4</v>
      </c>
      <c r="U9" s="95">
        <f>_xlfn.VAR.S(T17:T20)</f>
        <v>6</v>
      </c>
      <c r="X9" s="101" t="s">
        <v>81</v>
      </c>
      <c r="Y9" s="107">
        <v>0</v>
      </c>
      <c r="Z9" s="107"/>
    </row>
    <row r="10" spans="2:27">
      <c r="B10" s="151"/>
      <c r="C10" s="10" t="s">
        <v>82</v>
      </c>
      <c r="D10" s="11">
        <v>5</v>
      </c>
      <c r="E10" s="20">
        <f>$D10/H$11*100</f>
        <v>25</v>
      </c>
      <c r="F10" s="11">
        <v>5</v>
      </c>
      <c r="G10" s="12">
        <f>$F10/H$11*100</f>
        <v>25</v>
      </c>
      <c r="H10" s="77">
        <v>10</v>
      </c>
      <c r="I10" s="85">
        <f>$H10/H$11*100</f>
        <v>50</v>
      </c>
      <c r="J10" s="141"/>
      <c r="K10" s="158"/>
      <c r="O10" s="62"/>
      <c r="P10" s="92"/>
      <c r="U10" s="95">
        <v>6</v>
      </c>
      <c r="X10" s="101" t="s">
        <v>83</v>
      </c>
      <c r="Y10" s="109">
        <v>6</v>
      </c>
      <c r="Z10" s="107"/>
    </row>
    <row r="11" spans="2:27">
      <c r="B11" s="152"/>
      <c r="C11" s="14" t="s">
        <v>62</v>
      </c>
      <c r="D11" s="15">
        <f t="shared" ref="D11:I11" si="0">SUM(D7:D10)</f>
        <v>8</v>
      </c>
      <c r="E11" s="16">
        <f t="shared" si="0"/>
        <v>40</v>
      </c>
      <c r="F11" s="15">
        <f t="shared" si="0"/>
        <v>12</v>
      </c>
      <c r="G11" s="16">
        <f t="shared" si="0"/>
        <v>60</v>
      </c>
      <c r="H11" s="78">
        <f t="shared" si="0"/>
        <v>20</v>
      </c>
      <c r="I11" s="86">
        <f t="shared" si="0"/>
        <v>100</v>
      </c>
      <c r="J11" s="141"/>
      <c r="K11" s="158"/>
      <c r="O11" s="62" t="s">
        <v>84</v>
      </c>
      <c r="P11" s="93">
        <f>(P8-P9)/SQRT(U10/S8+U10/S9)</f>
        <v>-0.57735026918962595</v>
      </c>
      <c r="X11" s="101" t="s">
        <v>85</v>
      </c>
      <c r="Y11" s="110">
        <v>-0.57735026918962595</v>
      </c>
      <c r="Z11" s="107"/>
    </row>
    <row r="12" spans="2:27">
      <c r="B12" s="131" t="s">
        <v>86</v>
      </c>
      <c r="C12" s="132"/>
      <c r="D12" s="132"/>
      <c r="E12" s="132"/>
      <c r="F12" s="132"/>
      <c r="G12" s="132"/>
      <c r="H12" s="132"/>
      <c r="I12" s="132"/>
      <c r="J12" s="133" t="s">
        <v>87</v>
      </c>
      <c r="K12" s="134"/>
      <c r="O12" s="62"/>
      <c r="P12" s="92"/>
      <c r="X12" s="101" t="s">
        <v>88</v>
      </c>
      <c r="Y12" s="111">
        <v>0.29235016331798902</v>
      </c>
      <c r="Z12" s="107"/>
    </row>
    <row r="13" spans="2:27">
      <c r="B13" s="131" t="s">
        <v>89</v>
      </c>
      <c r="C13" s="132"/>
      <c r="D13" s="132"/>
      <c r="E13" s="132"/>
      <c r="F13" s="132"/>
      <c r="G13" s="132"/>
      <c r="H13" s="132"/>
      <c r="I13" s="132"/>
      <c r="J13" s="133" t="s">
        <v>90</v>
      </c>
      <c r="K13" s="134"/>
      <c r="O13" s="62"/>
      <c r="P13" s="92"/>
      <c r="X13" s="101" t="s">
        <v>91</v>
      </c>
      <c r="Y13" s="111">
        <v>1.9431802805153</v>
      </c>
      <c r="Z13" s="107"/>
    </row>
    <row r="14" spans="2:27">
      <c r="B14" s="131" t="s">
        <v>65</v>
      </c>
      <c r="C14" s="132"/>
      <c r="D14" s="132"/>
      <c r="E14" s="132"/>
      <c r="F14" s="132"/>
      <c r="G14" s="132"/>
      <c r="H14" s="132"/>
      <c r="I14" s="132"/>
      <c r="J14" s="133" t="s">
        <v>92</v>
      </c>
      <c r="K14" s="134"/>
      <c r="O14" s="62"/>
      <c r="P14" s="92"/>
      <c r="X14" s="101" t="s">
        <v>93</v>
      </c>
      <c r="Y14" s="112">
        <v>0.58470032663597704</v>
      </c>
      <c r="Z14" s="107"/>
    </row>
    <row r="15" spans="2:27">
      <c r="B15" s="131" t="s">
        <v>94</v>
      </c>
      <c r="C15" s="132"/>
      <c r="D15" s="132"/>
      <c r="E15" s="132"/>
      <c r="F15" s="132"/>
      <c r="G15" s="132"/>
      <c r="H15" s="132"/>
      <c r="I15" s="132"/>
      <c r="J15" s="133" t="s">
        <v>95</v>
      </c>
      <c r="K15" s="134"/>
      <c r="M15" s="42" t="s">
        <v>96</v>
      </c>
      <c r="O15" s="62" t="s">
        <v>97</v>
      </c>
      <c r="P15" s="94">
        <f>S8+S9-2</f>
        <v>6</v>
      </c>
      <c r="X15" s="102" t="s">
        <v>98</v>
      </c>
      <c r="Y15" s="113">
        <v>2.4469118511449701</v>
      </c>
      <c r="Z15" s="114"/>
    </row>
    <row r="16" spans="2:27">
      <c r="B16" s="135" t="s">
        <v>99</v>
      </c>
      <c r="C16" s="136"/>
      <c r="D16" s="136"/>
      <c r="E16" s="136"/>
      <c r="F16" s="136"/>
      <c r="G16" s="136"/>
      <c r="H16" s="136"/>
      <c r="I16" s="136"/>
      <c r="J16" s="133">
        <v>2.4500000000000002</v>
      </c>
      <c r="K16" s="134"/>
      <c r="O16" s="62" t="s">
        <v>100</v>
      </c>
      <c r="P16" s="95">
        <v>0.05</v>
      </c>
      <c r="Q16" s="103">
        <f>P16</f>
        <v>0.05</v>
      </c>
      <c r="S16" s="104" t="s">
        <v>59</v>
      </c>
      <c r="T16" s="104" t="s">
        <v>60</v>
      </c>
    </row>
    <row r="17" spans="2:20">
      <c r="B17" s="150" t="s">
        <v>101</v>
      </c>
      <c r="C17" s="137"/>
      <c r="D17" s="138"/>
      <c r="E17" s="138"/>
      <c r="F17" s="138"/>
      <c r="G17" s="138"/>
      <c r="H17" s="138"/>
      <c r="I17" s="139"/>
      <c r="J17" s="96" t="s">
        <v>102</v>
      </c>
      <c r="K17" s="97" t="s">
        <v>103</v>
      </c>
      <c r="P17" s="92"/>
      <c r="S17" s="105">
        <v>0</v>
      </c>
      <c r="T17" s="105">
        <v>2</v>
      </c>
    </row>
    <row r="18" spans="2:20">
      <c r="B18" s="151"/>
      <c r="C18" s="10" t="s">
        <v>104</v>
      </c>
      <c r="D18" s="79">
        <v>5</v>
      </c>
      <c r="E18" s="80">
        <f>$D18/H$21*100</f>
        <v>25</v>
      </c>
      <c r="F18" s="81">
        <v>8</v>
      </c>
      <c r="G18" s="8">
        <f>$F18/H$21*100</f>
        <v>40</v>
      </c>
      <c r="H18" s="57">
        <v>13</v>
      </c>
      <c r="I18" s="8">
        <f>$H18/H$21*100</f>
        <v>65</v>
      </c>
      <c r="J18" s="155">
        <v>0.1</v>
      </c>
      <c r="K18" s="155">
        <v>7.0000000000000007E-2</v>
      </c>
      <c r="P18" s="92"/>
      <c r="Q18" s="103"/>
      <c r="S18" s="105">
        <v>0</v>
      </c>
      <c r="T18" s="105">
        <v>0</v>
      </c>
    </row>
    <row r="19" spans="2:20">
      <c r="B19" s="151"/>
      <c r="C19" s="22" t="s">
        <v>105</v>
      </c>
      <c r="D19" s="82">
        <v>1</v>
      </c>
      <c r="E19" s="83">
        <f>$D19/H$21*100</f>
        <v>5</v>
      </c>
      <c r="F19" s="84">
        <v>1</v>
      </c>
      <c r="G19" s="12">
        <f>$F19/H$21*100</f>
        <v>5</v>
      </c>
      <c r="H19" s="58">
        <v>2</v>
      </c>
      <c r="I19" s="12">
        <f>$H19/H$21*100</f>
        <v>10</v>
      </c>
      <c r="J19" s="156"/>
      <c r="K19" s="156"/>
      <c r="P19" s="56">
        <f>TINV(P16,P15)</f>
        <v>2.4469118511449701</v>
      </c>
      <c r="S19" s="105">
        <v>3</v>
      </c>
      <c r="T19" s="105">
        <v>5</v>
      </c>
    </row>
    <row r="20" spans="2:20">
      <c r="B20" s="151"/>
      <c r="C20" s="22" t="s">
        <v>106</v>
      </c>
      <c r="D20" s="82">
        <v>2</v>
      </c>
      <c r="E20" s="85">
        <f>$D20/H$21*100</f>
        <v>10</v>
      </c>
      <c r="F20" s="84">
        <v>3</v>
      </c>
      <c r="G20" s="20">
        <f>$F20/H$21*100</f>
        <v>15</v>
      </c>
      <c r="H20" s="58">
        <v>5</v>
      </c>
      <c r="I20" s="20">
        <f>$H20/H$21*100</f>
        <v>25</v>
      </c>
      <c r="J20" s="156"/>
      <c r="K20" s="156"/>
      <c r="P20" s="92"/>
      <c r="S20" s="105">
        <v>5</v>
      </c>
      <c r="T20" s="105">
        <v>5</v>
      </c>
    </row>
    <row r="21" spans="2:20">
      <c r="B21" s="152"/>
      <c r="C21" s="14" t="s">
        <v>62</v>
      </c>
      <c r="D21" s="78">
        <f t="shared" ref="D21:I21" si="1">SUM(D18:D20)</f>
        <v>8</v>
      </c>
      <c r="E21" s="86">
        <f t="shared" si="1"/>
        <v>40</v>
      </c>
      <c r="F21" s="87">
        <f t="shared" si="1"/>
        <v>12</v>
      </c>
      <c r="G21" s="16">
        <f t="shared" si="1"/>
        <v>60</v>
      </c>
      <c r="H21" s="15">
        <f t="shared" si="1"/>
        <v>20</v>
      </c>
      <c r="I21" s="16">
        <f t="shared" si="1"/>
        <v>100</v>
      </c>
      <c r="J21" s="157"/>
      <c r="K21" s="157"/>
      <c r="O21" s="65" t="s">
        <v>107</v>
      </c>
      <c r="P21" s="56">
        <f>_xlfn.T.DIST.2T(-P11,P15)</f>
        <v>0.58470032663597704</v>
      </c>
    </row>
    <row r="22" spans="2:20">
      <c r="B22" s="131" t="s">
        <v>108</v>
      </c>
      <c r="C22" s="132"/>
      <c r="D22" s="132"/>
      <c r="E22" s="132"/>
      <c r="F22" s="132"/>
      <c r="G22" s="132"/>
      <c r="H22" s="132"/>
      <c r="I22" s="132"/>
      <c r="J22" s="140">
        <v>5.99</v>
      </c>
      <c r="K22" s="141"/>
    </row>
    <row r="23" spans="2:20">
      <c r="M23" s="142" t="s">
        <v>109</v>
      </c>
      <c r="N23" s="142"/>
      <c r="O23" s="142"/>
      <c r="P23" s="142"/>
    </row>
    <row r="24" spans="2:20">
      <c r="M24" s="143" t="s">
        <v>110</v>
      </c>
      <c r="N24" s="143"/>
      <c r="O24" s="143"/>
      <c r="P24" s="143"/>
      <c r="Q24" s="143"/>
    </row>
    <row r="26" spans="2:20">
      <c r="B26" s="39" t="s">
        <v>111</v>
      </c>
      <c r="C26" s="144" t="s">
        <v>6</v>
      </c>
      <c r="D26" s="144"/>
      <c r="E26" s="153" t="s">
        <v>62</v>
      </c>
      <c r="H26" s="145" t="s">
        <v>55</v>
      </c>
      <c r="I26" s="145"/>
      <c r="J26" s="145"/>
      <c r="K26" s="145"/>
      <c r="L26" s="145"/>
    </row>
    <row r="27" spans="2:20">
      <c r="B27" s="88"/>
      <c r="C27" s="89" t="s">
        <v>59</v>
      </c>
      <c r="D27" s="39" t="s">
        <v>60</v>
      </c>
      <c r="E27" s="153"/>
      <c r="H27" s="42" t="s">
        <v>112</v>
      </c>
    </row>
    <row r="28" spans="2:20">
      <c r="B28" s="90" t="s">
        <v>113</v>
      </c>
      <c r="C28" s="41">
        <v>5</v>
      </c>
      <c r="D28" s="41">
        <v>8</v>
      </c>
      <c r="E28" s="42">
        <v>13</v>
      </c>
      <c r="H28" s="47" t="s">
        <v>114</v>
      </c>
      <c r="I28" s="38"/>
      <c r="J28" s="38"/>
      <c r="K28" s="38"/>
    </row>
    <row r="29" spans="2:20">
      <c r="B29" s="90" t="s">
        <v>115</v>
      </c>
      <c r="C29" s="41">
        <v>1</v>
      </c>
      <c r="D29" s="41">
        <v>1</v>
      </c>
      <c r="E29" s="42">
        <v>2</v>
      </c>
      <c r="H29" s="38"/>
      <c r="I29" s="38"/>
      <c r="J29" s="38"/>
      <c r="K29" s="38"/>
    </row>
    <row r="30" spans="2:20" ht="15.75">
      <c r="B30" s="90" t="s">
        <v>116</v>
      </c>
      <c r="C30" s="41">
        <v>2</v>
      </c>
      <c r="D30" s="41">
        <v>3</v>
      </c>
      <c r="E30" s="42">
        <v>5</v>
      </c>
      <c r="H30" s="38"/>
      <c r="I30" s="38"/>
      <c r="J30" s="38"/>
      <c r="K30" s="38"/>
      <c r="O30" s="146" t="s">
        <v>117</v>
      </c>
      <c r="P30" s="146"/>
      <c r="Q30" s="146"/>
    </row>
    <row r="31" spans="2:20">
      <c r="B31" s="44" t="s">
        <v>62</v>
      </c>
      <c r="C31" s="45">
        <f>SUM(C28:C30)</f>
        <v>8</v>
      </c>
      <c r="D31" s="45">
        <f>SUM(D28:D30)</f>
        <v>12</v>
      </c>
      <c r="E31" s="46">
        <f>SUM(E28:E30)</f>
        <v>20</v>
      </c>
      <c r="H31" s="38"/>
      <c r="I31" s="38"/>
      <c r="J31" s="38"/>
      <c r="K31" s="38"/>
    </row>
    <row r="32" spans="2:20">
      <c r="L32" s="62" t="s">
        <v>118</v>
      </c>
      <c r="M32" s="68">
        <v>0.95</v>
      </c>
    </row>
    <row r="33" spans="2:17">
      <c r="L33" s="62" t="s">
        <v>119</v>
      </c>
      <c r="M33" s="56">
        <f>E44</f>
        <v>9.6153846153846104E-2</v>
      </c>
    </row>
    <row r="34" spans="2:17">
      <c r="B34" s="48" t="s">
        <v>120</v>
      </c>
      <c r="C34" s="49"/>
      <c r="D34" s="49"/>
      <c r="E34" s="49"/>
    </row>
    <row r="35" spans="2:17">
      <c r="C35" s="2">
        <f t="shared" ref="C35:D37" si="2">$E28*C$31/$E$31</f>
        <v>5.2</v>
      </c>
      <c r="D35" s="2">
        <f t="shared" si="2"/>
        <v>7.8</v>
      </c>
      <c r="E35" s="50">
        <f>SUM(C35:D35)</f>
        <v>13</v>
      </c>
    </row>
    <row r="36" spans="2:17">
      <c r="C36" s="2">
        <f t="shared" si="2"/>
        <v>0.8</v>
      </c>
      <c r="D36" s="2">
        <f t="shared" si="2"/>
        <v>1.2</v>
      </c>
      <c r="E36" s="50">
        <f>SUM(C36:D36)</f>
        <v>2</v>
      </c>
      <c r="P36" s="62" t="s">
        <v>121</v>
      </c>
      <c r="Q36" s="63">
        <f>SQRT(M33/E31*MIN(2-1,3-1))</f>
        <v>6.9337524528153602E-2</v>
      </c>
    </row>
    <row r="37" spans="2:17">
      <c r="C37" s="2">
        <f t="shared" si="2"/>
        <v>2</v>
      </c>
      <c r="D37" s="2">
        <f t="shared" si="2"/>
        <v>3</v>
      </c>
      <c r="E37" s="50">
        <f>SUM(C37:D37)</f>
        <v>5</v>
      </c>
      <c r="H37" s="130" t="s">
        <v>96</v>
      </c>
      <c r="I37" s="130"/>
      <c r="J37" s="130"/>
      <c r="K37" s="147" t="s">
        <v>122</v>
      </c>
      <c r="L37" s="147"/>
      <c r="M37" s="66">
        <f>(3-1)*(2-1)</f>
        <v>2</v>
      </c>
    </row>
    <row r="38" spans="2:17">
      <c r="B38" s="51"/>
      <c r="C38" s="52">
        <f>SUM(C35:C37)</f>
        <v>8</v>
      </c>
      <c r="D38" s="52">
        <f>SUM(D35:D37)</f>
        <v>12</v>
      </c>
      <c r="E38" s="52">
        <f>SUM(E35:E37)</f>
        <v>20</v>
      </c>
      <c r="K38" s="65"/>
      <c r="L38" s="65" t="s">
        <v>100</v>
      </c>
      <c r="M38" s="66">
        <v>0.95</v>
      </c>
      <c r="N38" s="67">
        <f>M38</f>
        <v>0.95</v>
      </c>
    </row>
    <row r="39" spans="2:17">
      <c r="E39" s="91"/>
      <c r="J39" s="148" t="s">
        <v>123</v>
      </c>
      <c r="K39" s="149"/>
      <c r="L39" s="149"/>
      <c r="M39" s="56">
        <f>CHIINV(0.05,2)</f>
        <v>5.9914645471079799</v>
      </c>
    </row>
    <row r="40" spans="2:17">
      <c r="B40" s="48" t="s">
        <v>124</v>
      </c>
      <c r="C40" s="49"/>
      <c r="D40" s="49"/>
      <c r="E40" s="53"/>
      <c r="H40" s="130" t="s">
        <v>125</v>
      </c>
      <c r="I40" s="127"/>
      <c r="J40" s="127"/>
      <c r="K40" s="127"/>
      <c r="L40" s="127"/>
      <c r="M40" s="127"/>
    </row>
    <row r="41" spans="2:17">
      <c r="C41" s="2">
        <f t="shared" ref="C41:D43" si="3">POWER(C28-C35,2)/C35</f>
        <v>7.6923076923077101E-3</v>
      </c>
      <c r="D41" s="2">
        <f t="shared" si="3"/>
        <v>5.1282051282051403E-3</v>
      </c>
      <c r="H41" s="130" t="s">
        <v>126</v>
      </c>
      <c r="I41" s="130"/>
      <c r="J41" s="130"/>
      <c r="K41" s="130"/>
      <c r="L41" s="130"/>
      <c r="M41" s="130"/>
      <c r="N41" s="130"/>
    </row>
    <row r="42" spans="2:17">
      <c r="C42" s="2">
        <f t="shared" si="3"/>
        <v>0.05</v>
      </c>
      <c r="D42" s="2">
        <f t="shared" si="3"/>
        <v>3.3333333333333298E-2</v>
      </c>
    </row>
    <row r="43" spans="2:17">
      <c r="C43" s="2">
        <f t="shared" si="3"/>
        <v>0</v>
      </c>
      <c r="D43" s="2">
        <f t="shared" si="3"/>
        <v>0</v>
      </c>
    </row>
    <row r="44" spans="2:17">
      <c r="B44" s="51"/>
      <c r="C44" s="52"/>
      <c r="D44" s="55" t="s">
        <v>119</v>
      </c>
      <c r="E44" s="56">
        <f>SUM(C41:D43)</f>
        <v>9.6153846153846104E-2</v>
      </c>
    </row>
    <row r="52" spans="6:7">
      <c r="F52" s="162"/>
      <c r="G52" s="162"/>
    </row>
    <row r="53" spans="6:7">
      <c r="F53" s="162"/>
      <c r="G53" s="162"/>
    </row>
    <row r="54" spans="6:7">
      <c r="F54" s="41"/>
      <c r="G54" s="41"/>
    </row>
  </sheetData>
  <mergeCells count="41">
    <mergeCell ref="B5:C6"/>
    <mergeCell ref="F52:G53"/>
    <mergeCell ref="J39:L39"/>
    <mergeCell ref="H40:M40"/>
    <mergeCell ref="H41:N41"/>
    <mergeCell ref="B7:B11"/>
    <mergeCell ref="B17:B21"/>
    <mergeCell ref="E26:E27"/>
    <mergeCell ref="J7:J11"/>
    <mergeCell ref="J18:J21"/>
    <mergeCell ref="K7:K11"/>
    <mergeCell ref="K18:K21"/>
    <mergeCell ref="C26:D26"/>
    <mergeCell ref="H26:L26"/>
    <mergeCell ref="O30:Q30"/>
    <mergeCell ref="H37:J37"/>
    <mergeCell ref="K37:L37"/>
    <mergeCell ref="C17:I17"/>
    <mergeCell ref="B22:I22"/>
    <mergeCell ref="J22:K22"/>
    <mergeCell ref="M23:P23"/>
    <mergeCell ref="M24:Q24"/>
    <mergeCell ref="B14:I14"/>
    <mergeCell ref="J14:K14"/>
    <mergeCell ref="B15:I15"/>
    <mergeCell ref="J15:K15"/>
    <mergeCell ref="B16:I16"/>
    <mergeCell ref="J16:K16"/>
    <mergeCell ref="R7:T7"/>
    <mergeCell ref="B12:I12"/>
    <mergeCell ref="J12:K12"/>
    <mergeCell ref="B13:I13"/>
    <mergeCell ref="J13:K13"/>
    <mergeCell ref="M2:P2"/>
    <mergeCell ref="M3:O3"/>
    <mergeCell ref="M4:O4"/>
    <mergeCell ref="D5:E5"/>
    <mergeCell ref="F5:G5"/>
    <mergeCell ref="H5:I5"/>
    <mergeCell ref="J5:J6"/>
    <mergeCell ref="K5:K6"/>
  </mergeCells>
  <pageMargins left="0.75" right="0.75" top="1" bottom="1" header="0.5" footer="0.5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Equation.KSEE3" shapeId="2049" r:id="rId3">
          <objectPr defaultSize="0" altText="" r:id="rId4">
            <anchor moveWithCells="1">
              <from>
                <xdr:col>11</xdr:col>
                <xdr:colOff>590550</xdr:colOff>
                <xdr:row>6</xdr:row>
                <xdr:rowOff>114300</xdr:rowOff>
              </from>
              <to>
                <xdr:col>14</xdr:col>
                <xdr:colOff>142875</xdr:colOff>
                <xdr:row>11</xdr:row>
                <xdr:rowOff>57150</xdr:rowOff>
              </to>
            </anchor>
          </objectPr>
        </oleObject>
      </mc:Choice>
      <mc:Fallback>
        <oleObject progId="Equation.KSEE3" shapeId="2049" r:id="rId3"/>
      </mc:Fallback>
    </mc:AlternateContent>
    <mc:AlternateContent xmlns:mc="http://schemas.openxmlformats.org/markup-compatibility/2006">
      <mc:Choice Requires="x14">
        <oleObject progId="Equation.KSEE3" shapeId="2050" r:id="rId5">
          <objectPr defaultSize="0" altText="" r:id="rId6">
            <anchor moveWithCells="1">
              <from>
                <xdr:col>19</xdr:col>
                <xdr:colOff>219075</xdr:colOff>
                <xdr:row>6</xdr:row>
                <xdr:rowOff>190500</xdr:rowOff>
              </from>
              <to>
                <xdr:col>19</xdr:col>
                <xdr:colOff>552450</xdr:colOff>
                <xdr:row>8</xdr:row>
                <xdr:rowOff>19050</xdr:rowOff>
              </to>
            </anchor>
          </objectPr>
        </oleObject>
      </mc:Choice>
      <mc:Fallback>
        <oleObject progId="Equation.KSEE3" shapeId="2050" r:id="rId5"/>
      </mc:Fallback>
    </mc:AlternateContent>
    <mc:AlternateContent xmlns:mc="http://schemas.openxmlformats.org/markup-compatibility/2006">
      <mc:Choice Requires="x14">
        <oleObject progId="Equation.KSEE3" shapeId="2051" r:id="rId7">
          <objectPr defaultSize="0" altText="" r:id="rId8">
            <anchor moveWithCells="1">
              <from>
                <xdr:col>19</xdr:col>
                <xdr:colOff>219075</xdr:colOff>
                <xdr:row>7</xdr:row>
                <xdr:rowOff>190500</xdr:rowOff>
              </from>
              <to>
                <xdr:col>19</xdr:col>
                <xdr:colOff>495300</xdr:colOff>
                <xdr:row>9</xdr:row>
                <xdr:rowOff>19050</xdr:rowOff>
              </to>
            </anchor>
          </objectPr>
        </oleObject>
      </mc:Choice>
      <mc:Fallback>
        <oleObject progId="Equation.KSEE3" shapeId="2051" r:id="rId7"/>
      </mc:Fallback>
    </mc:AlternateContent>
    <mc:AlternateContent xmlns:mc="http://schemas.openxmlformats.org/markup-compatibility/2006">
      <mc:Choice Requires="x14">
        <oleObject progId="Equation.KSEE3" shapeId="2052" r:id="rId9">
          <objectPr defaultSize="0" altText="" r:id="rId10">
            <anchor moveWithCells="1">
              <from>
                <xdr:col>19</xdr:col>
                <xdr:colOff>219075</xdr:colOff>
                <xdr:row>8</xdr:row>
                <xdr:rowOff>190500</xdr:rowOff>
              </from>
              <to>
                <xdr:col>19</xdr:col>
                <xdr:colOff>552450</xdr:colOff>
                <xdr:row>10</xdr:row>
                <xdr:rowOff>28575</xdr:rowOff>
              </to>
            </anchor>
          </objectPr>
        </oleObject>
      </mc:Choice>
      <mc:Fallback>
        <oleObject progId="Equation.KSEE3" shapeId="2052" r:id="rId9"/>
      </mc:Fallback>
    </mc:AlternateContent>
    <mc:AlternateContent xmlns:mc="http://schemas.openxmlformats.org/markup-compatibility/2006">
      <mc:Choice Requires="x14">
        <oleObject progId="Equation.KSEE3" shapeId="2053" r:id="rId11">
          <objectPr defaultSize="0" altText="" r:id="rId12">
            <anchor moveWithCells="1">
              <from>
                <xdr:col>18</xdr:col>
                <xdr:colOff>523875</xdr:colOff>
                <xdr:row>2</xdr:row>
                <xdr:rowOff>171450</xdr:rowOff>
              </from>
              <to>
                <xdr:col>22</xdr:col>
                <xdr:colOff>228600</xdr:colOff>
                <xdr:row>5</xdr:row>
                <xdr:rowOff>171450</xdr:rowOff>
              </to>
            </anchor>
          </objectPr>
        </oleObject>
      </mc:Choice>
      <mc:Fallback>
        <oleObject progId="Equation.KSEE3" shapeId="2053" r:id="rId11"/>
      </mc:Fallback>
    </mc:AlternateContent>
    <mc:AlternateContent xmlns:mc="http://schemas.openxmlformats.org/markup-compatibility/2006">
      <mc:Choice Requires="x14">
        <oleObject progId="Equation.KSEE3" shapeId="2054" r:id="rId13">
          <objectPr defaultSize="0" altText="" r:id="rId14">
            <anchor moveWithCells="1">
              <from>
                <xdr:col>12</xdr:col>
                <xdr:colOff>171450</xdr:colOff>
                <xdr:row>17</xdr:row>
                <xdr:rowOff>66675</xdr:rowOff>
              </from>
              <to>
                <xdr:col>15</xdr:col>
                <xdr:colOff>0</xdr:colOff>
                <xdr:row>19</xdr:row>
                <xdr:rowOff>114300</xdr:rowOff>
              </to>
            </anchor>
          </objectPr>
        </oleObject>
      </mc:Choice>
      <mc:Fallback>
        <oleObject progId="Equation.KSEE3" shapeId="2054" r:id="rId13"/>
      </mc:Fallback>
    </mc:AlternateContent>
    <mc:AlternateContent xmlns:mc="http://schemas.openxmlformats.org/markup-compatibility/2006">
      <mc:Choice Requires="x14">
        <oleObject progId="Equation.KSEE3" shapeId="2055" r:id="rId15">
          <objectPr defaultSize="0" altText="" r:id="rId16">
            <anchor moveWithCells="1">
              <from>
                <xdr:col>11</xdr:col>
                <xdr:colOff>590550</xdr:colOff>
                <xdr:row>1</xdr:row>
                <xdr:rowOff>180975</xdr:rowOff>
              </from>
              <to>
                <xdr:col>13</xdr:col>
                <xdr:colOff>247650</xdr:colOff>
                <xdr:row>3</xdr:row>
                <xdr:rowOff>19050</xdr:rowOff>
              </to>
            </anchor>
          </objectPr>
        </oleObject>
      </mc:Choice>
      <mc:Fallback>
        <oleObject progId="Equation.KSEE3" shapeId="2055" r:id="rId15"/>
      </mc:Fallback>
    </mc:AlternateContent>
    <mc:AlternateContent xmlns:mc="http://schemas.openxmlformats.org/markup-compatibility/2006">
      <mc:Choice Requires="x14">
        <oleObject progId="Equation.KSEE3" shapeId="2056" r:id="rId17">
          <objectPr defaultSize="0" altText="" r:id="rId18">
            <anchor moveWithCells="1">
              <from>
                <xdr:col>12</xdr:col>
                <xdr:colOff>0</xdr:colOff>
                <xdr:row>3</xdr:row>
                <xdr:rowOff>0</xdr:rowOff>
              </from>
              <to>
                <xdr:col>13</xdr:col>
                <xdr:colOff>257175</xdr:colOff>
                <xdr:row>4</xdr:row>
                <xdr:rowOff>28575</xdr:rowOff>
              </to>
            </anchor>
          </objectPr>
        </oleObject>
      </mc:Choice>
      <mc:Fallback>
        <oleObject progId="Equation.KSEE3" shapeId="2056" r:id="rId17"/>
      </mc:Fallback>
    </mc:AlternateContent>
    <mc:AlternateContent xmlns:mc="http://schemas.openxmlformats.org/markup-compatibility/2006">
      <mc:Choice Requires="x14">
        <oleObject progId="Equation.KSEE3" shapeId="2057" r:id="rId19">
          <objectPr defaultSize="0" altText="" r:id="rId20">
            <anchor moveWithCells="1">
              <from>
                <xdr:col>6</xdr:col>
                <xdr:colOff>600075</xdr:colOff>
                <xdr:row>30</xdr:row>
                <xdr:rowOff>104775</xdr:rowOff>
              </from>
              <to>
                <xdr:col>9</xdr:col>
                <xdr:colOff>533400</xdr:colOff>
                <xdr:row>34</xdr:row>
                <xdr:rowOff>19050</xdr:rowOff>
              </to>
            </anchor>
          </objectPr>
        </oleObject>
      </mc:Choice>
      <mc:Fallback>
        <oleObject progId="Equation.KSEE3" shapeId="2057" r:id="rId19"/>
      </mc:Fallback>
    </mc:AlternateContent>
    <mc:AlternateContent xmlns:mc="http://schemas.openxmlformats.org/markup-compatibility/2006">
      <mc:Choice Requires="x14">
        <oleObject progId="Equation.KSEE3" shapeId="2058" r:id="rId21">
          <objectPr defaultSize="0" altText="" r:id="rId22">
            <anchor moveWithCells="1">
              <from>
                <xdr:col>14</xdr:col>
                <xdr:colOff>323850</xdr:colOff>
                <xdr:row>31</xdr:row>
                <xdr:rowOff>57150</xdr:rowOff>
              </from>
              <to>
                <xdr:col>16</xdr:col>
                <xdr:colOff>485775</xdr:colOff>
                <xdr:row>34</xdr:row>
                <xdr:rowOff>19050</xdr:rowOff>
              </to>
            </anchor>
          </objectPr>
        </oleObject>
      </mc:Choice>
      <mc:Fallback>
        <oleObject progId="Equation.KSEE3" shapeId="2058" r:id="rId2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16" sqref="C16"/>
    </sheetView>
  </sheetViews>
  <sheetFormatPr baseColWidth="10" defaultColWidth="9.140625" defaultRowHeight="15"/>
  <cols>
    <col min="1" max="1" width="13.5703125"/>
    <col min="2" max="3" width="7.85546875"/>
    <col min="4" max="4" width="13.5703125"/>
  </cols>
  <sheetData>
    <row r="3" spans="1:4">
      <c r="A3" t="s">
        <v>127</v>
      </c>
      <c r="B3" t="s">
        <v>6</v>
      </c>
    </row>
    <row r="4" spans="1:4">
      <c r="A4" t="s">
        <v>4</v>
      </c>
      <c r="B4" t="s">
        <v>22</v>
      </c>
      <c r="C4" t="s">
        <v>14</v>
      </c>
      <c r="D4" t="s">
        <v>128</v>
      </c>
    </row>
    <row r="5" spans="1:4">
      <c r="A5">
        <v>2018</v>
      </c>
      <c r="B5">
        <v>3</v>
      </c>
      <c r="C5">
        <v>4</v>
      </c>
      <c r="D5">
        <v>7</v>
      </c>
    </row>
    <row r="6" spans="1:4">
      <c r="A6">
        <v>2019</v>
      </c>
      <c r="B6">
        <v>2</v>
      </c>
      <c r="C6">
        <v>5</v>
      </c>
      <c r="D6">
        <v>7</v>
      </c>
    </row>
    <row r="7" spans="1:4">
      <c r="A7">
        <v>2020</v>
      </c>
      <c r="B7">
        <v>2</v>
      </c>
      <c r="C7">
        <v>2</v>
      </c>
      <c r="D7">
        <v>4</v>
      </c>
    </row>
    <row r="8" spans="1:4">
      <c r="A8">
        <v>2023</v>
      </c>
      <c r="B8">
        <v>1</v>
      </c>
      <c r="C8">
        <v>1</v>
      </c>
      <c r="D8">
        <v>2</v>
      </c>
    </row>
    <row r="9" spans="1:4">
      <c r="A9" t="s">
        <v>128</v>
      </c>
      <c r="B9">
        <v>8</v>
      </c>
      <c r="C9">
        <v>12</v>
      </c>
      <c r="D9">
        <v>20</v>
      </c>
    </row>
    <row r="14" spans="1:4">
      <c r="C14">
        <f>9/20*100</f>
        <v>45</v>
      </c>
    </row>
    <row r="15" spans="1:4">
      <c r="C15">
        <f>14/20*100</f>
        <v>70</v>
      </c>
    </row>
  </sheetData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6"/>
  <sheetViews>
    <sheetView workbookViewId="0">
      <selection activeCell="J25" sqref="J25"/>
    </sheetView>
  </sheetViews>
  <sheetFormatPr baseColWidth="10" defaultColWidth="9.140625" defaultRowHeight="15"/>
  <cols>
    <col min="2" max="2" width="36.140625" customWidth="1"/>
    <col min="5" max="5" width="12.5703125" customWidth="1"/>
    <col min="7" max="7" width="12.85546875"/>
  </cols>
  <sheetData>
    <row r="5" spans="2:9">
      <c r="B5" s="163" t="s">
        <v>129</v>
      </c>
      <c r="C5" s="164"/>
      <c r="D5" s="164"/>
      <c r="E5" s="165"/>
      <c r="F5" s="69" t="s">
        <v>3</v>
      </c>
      <c r="G5" s="70" t="s">
        <v>66</v>
      </c>
    </row>
    <row r="6" spans="2:9">
      <c r="B6" s="184" t="s">
        <v>130</v>
      </c>
      <c r="C6" s="166" t="s">
        <v>131</v>
      </c>
      <c r="D6" s="167"/>
      <c r="E6" s="168"/>
      <c r="F6" s="19">
        <v>13</v>
      </c>
      <c r="G6" s="21">
        <f t="shared" ref="G6:G11" si="0">$F6/I$7*100</f>
        <v>27.0833333333333</v>
      </c>
    </row>
    <row r="7" spans="2:9">
      <c r="B7" s="128"/>
      <c r="C7" s="169" t="s">
        <v>132</v>
      </c>
      <c r="D7" s="170"/>
      <c r="E7" s="171"/>
      <c r="F7" s="11">
        <v>11</v>
      </c>
      <c r="G7" s="21">
        <f t="shared" si="0"/>
        <v>22.9166666666667</v>
      </c>
      <c r="I7" s="75">
        <f>SUM(F6:F11)</f>
        <v>48</v>
      </c>
    </row>
    <row r="8" spans="2:9">
      <c r="B8" s="128"/>
      <c r="C8" s="169" t="s">
        <v>133</v>
      </c>
      <c r="D8" s="170"/>
      <c r="E8" s="171"/>
      <c r="F8" s="11">
        <v>9</v>
      </c>
      <c r="G8" s="21">
        <f t="shared" si="0"/>
        <v>18.75</v>
      </c>
    </row>
    <row r="9" spans="2:9">
      <c r="B9" s="128"/>
      <c r="C9" s="169" t="s">
        <v>134</v>
      </c>
      <c r="D9" s="170"/>
      <c r="E9" s="171"/>
      <c r="F9" s="11">
        <v>9</v>
      </c>
      <c r="G9" s="21">
        <f t="shared" si="0"/>
        <v>18.75</v>
      </c>
    </row>
    <row r="10" spans="2:9">
      <c r="B10" s="128"/>
      <c r="C10" s="169" t="s">
        <v>135</v>
      </c>
      <c r="D10" s="170"/>
      <c r="E10" s="171"/>
      <c r="F10" s="11">
        <v>3</v>
      </c>
      <c r="G10" s="21">
        <f t="shared" si="0"/>
        <v>6.25</v>
      </c>
    </row>
    <row r="11" spans="2:9">
      <c r="B11" s="128"/>
      <c r="C11" s="172" t="s">
        <v>49</v>
      </c>
      <c r="D11" s="173"/>
      <c r="E11" s="174"/>
      <c r="F11" s="71">
        <v>3</v>
      </c>
      <c r="G11" s="21">
        <f t="shared" si="0"/>
        <v>6.25</v>
      </c>
    </row>
    <row r="12" spans="2:9">
      <c r="B12" s="128" t="s">
        <v>136</v>
      </c>
      <c r="C12" s="166" t="s">
        <v>137</v>
      </c>
      <c r="D12" s="167"/>
      <c r="E12" s="168"/>
      <c r="F12" s="19">
        <v>20</v>
      </c>
      <c r="G12" s="21">
        <f>$F12/I$18*100</f>
        <v>13.071895424836599</v>
      </c>
    </row>
    <row r="13" spans="2:9">
      <c r="B13" s="128"/>
      <c r="C13" s="169" t="s">
        <v>138</v>
      </c>
      <c r="D13" s="170"/>
      <c r="E13" s="171"/>
      <c r="F13" s="11">
        <v>13</v>
      </c>
      <c r="G13" s="21">
        <f t="shared" ref="G13:G24" si="1">$F13/I$18*100</f>
        <v>8.4967320261437909</v>
      </c>
    </row>
    <row r="14" spans="2:9">
      <c r="B14" s="128"/>
      <c r="C14" s="169" t="s">
        <v>139</v>
      </c>
      <c r="D14" s="170"/>
      <c r="E14" s="171"/>
      <c r="F14" s="11">
        <v>8</v>
      </c>
      <c r="G14" s="21">
        <f t="shared" si="1"/>
        <v>5.2287581699346397</v>
      </c>
    </row>
    <row r="15" spans="2:9">
      <c r="B15" s="128"/>
      <c r="C15" s="169" t="s">
        <v>140</v>
      </c>
      <c r="D15" s="170"/>
      <c r="E15" s="171"/>
      <c r="F15" s="11">
        <v>6</v>
      </c>
      <c r="G15" s="21">
        <f t="shared" si="1"/>
        <v>3.9215686274509798</v>
      </c>
    </row>
    <row r="16" spans="2:9">
      <c r="B16" s="128"/>
      <c r="C16" s="169" t="s">
        <v>141</v>
      </c>
      <c r="D16" s="170"/>
      <c r="E16" s="171"/>
      <c r="F16" s="11">
        <v>6</v>
      </c>
      <c r="G16" s="21">
        <f t="shared" si="1"/>
        <v>3.9215686274509798</v>
      </c>
    </row>
    <row r="17" spans="2:9">
      <c r="B17" s="128"/>
      <c r="C17" s="169" t="s">
        <v>142</v>
      </c>
      <c r="D17" s="170"/>
      <c r="E17" s="171"/>
      <c r="F17" s="11">
        <v>15</v>
      </c>
      <c r="G17" s="21">
        <f t="shared" si="1"/>
        <v>9.8039215686274499</v>
      </c>
    </row>
    <row r="18" spans="2:9">
      <c r="B18" s="128"/>
      <c r="C18" s="169" t="s">
        <v>143</v>
      </c>
      <c r="D18" s="170"/>
      <c r="E18" s="171"/>
      <c r="F18" s="11">
        <v>8</v>
      </c>
      <c r="G18" s="21">
        <f t="shared" si="1"/>
        <v>5.2287581699346397</v>
      </c>
      <c r="I18" s="75">
        <f>SUM(F12:F24)</f>
        <v>153</v>
      </c>
    </row>
    <row r="19" spans="2:9">
      <c r="B19" s="128"/>
      <c r="C19" s="169" t="s">
        <v>144</v>
      </c>
      <c r="D19" s="170"/>
      <c r="E19" s="171"/>
      <c r="F19" s="11">
        <v>10</v>
      </c>
      <c r="G19" s="21">
        <f t="shared" si="1"/>
        <v>6.5359477124182996</v>
      </c>
    </row>
    <row r="20" spans="2:9">
      <c r="B20" s="128"/>
      <c r="C20" s="175" t="s">
        <v>145</v>
      </c>
      <c r="D20" s="176"/>
      <c r="E20" s="177"/>
      <c r="F20" s="11">
        <v>12</v>
      </c>
      <c r="G20" s="21">
        <f t="shared" si="1"/>
        <v>7.8431372549019596</v>
      </c>
    </row>
    <row r="21" spans="2:9">
      <c r="B21" s="128"/>
      <c r="C21" s="169" t="s">
        <v>146</v>
      </c>
      <c r="D21" s="170"/>
      <c r="E21" s="171"/>
      <c r="F21" s="11">
        <v>15</v>
      </c>
      <c r="G21" s="21">
        <f t="shared" si="1"/>
        <v>9.8039215686274499</v>
      </c>
    </row>
    <row r="22" spans="2:9">
      <c r="B22" s="128"/>
      <c r="C22" s="169" t="s">
        <v>147</v>
      </c>
      <c r="D22" s="170"/>
      <c r="E22" s="171"/>
      <c r="F22" s="11">
        <v>15</v>
      </c>
      <c r="G22" s="21">
        <f t="shared" si="1"/>
        <v>9.8039215686274499</v>
      </c>
    </row>
    <row r="23" spans="2:9">
      <c r="B23" s="128"/>
      <c r="C23" s="169" t="s">
        <v>148</v>
      </c>
      <c r="D23" s="170"/>
      <c r="E23" s="171"/>
      <c r="F23" s="11">
        <v>15</v>
      </c>
      <c r="G23" s="21">
        <f t="shared" si="1"/>
        <v>9.8039215686274499</v>
      </c>
    </row>
    <row r="24" spans="2:9">
      <c r="B24" s="128"/>
      <c r="C24" s="172" t="s">
        <v>149</v>
      </c>
      <c r="D24" s="173"/>
      <c r="E24" s="174"/>
      <c r="F24" s="71">
        <v>10</v>
      </c>
      <c r="G24" s="72">
        <f t="shared" si="1"/>
        <v>6.5359477124182996</v>
      </c>
    </row>
    <row r="25" spans="2:9">
      <c r="B25" s="185" t="s">
        <v>150</v>
      </c>
      <c r="C25" s="178" t="s">
        <v>151</v>
      </c>
      <c r="D25" s="179"/>
      <c r="E25" s="180"/>
      <c r="F25" s="73">
        <v>19</v>
      </c>
      <c r="G25" s="21">
        <f>$F25/I$25*100</f>
        <v>73.076923076923094</v>
      </c>
      <c r="I25" s="75">
        <f>SUM(F25:F26)</f>
        <v>26</v>
      </c>
    </row>
    <row r="26" spans="2:9">
      <c r="B26" s="186"/>
      <c r="C26" s="181" t="s">
        <v>152</v>
      </c>
      <c r="D26" s="182"/>
      <c r="E26" s="183"/>
      <c r="F26" s="74">
        <v>7</v>
      </c>
      <c r="G26" s="21">
        <f>$F26/I$25*100</f>
        <v>26.923076923076898</v>
      </c>
    </row>
  </sheetData>
  <mergeCells count="25">
    <mergeCell ref="C25:E25"/>
    <mergeCell ref="C26:E26"/>
    <mergeCell ref="B6:B11"/>
    <mergeCell ref="B12:B24"/>
    <mergeCell ref="B25:B26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C10:E10"/>
    <mergeCell ref="C11:E11"/>
    <mergeCell ref="C12:E12"/>
    <mergeCell ref="C13:E13"/>
    <mergeCell ref="C14:E14"/>
    <mergeCell ref="B5:E5"/>
    <mergeCell ref="C6:E6"/>
    <mergeCell ref="C7:E7"/>
    <mergeCell ref="C8:E8"/>
    <mergeCell ref="C9:E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AA89"/>
  <sheetViews>
    <sheetView topLeftCell="A7" workbookViewId="0">
      <selection activeCell="AA49" sqref="AA49"/>
    </sheetView>
  </sheetViews>
  <sheetFormatPr baseColWidth="10" defaultColWidth="9.140625" defaultRowHeight="15"/>
  <cols>
    <col min="3" max="3" width="21.140625" customWidth="1"/>
    <col min="4" max="4" width="13.28515625" customWidth="1"/>
    <col min="11" max="11" width="11.7109375" customWidth="1"/>
    <col min="12" max="12" width="15.42578125" customWidth="1"/>
    <col min="13" max="13" width="25.7109375" customWidth="1"/>
    <col min="15" max="15" width="22" customWidth="1"/>
    <col min="16" max="16" width="10.5703125" customWidth="1"/>
    <col min="17" max="17" width="10.85546875" customWidth="1"/>
    <col min="27" max="27" width="11.85546875" customWidth="1"/>
  </cols>
  <sheetData>
    <row r="7" spans="3:26" ht="15" customHeight="1"/>
    <row r="8" spans="3:26">
      <c r="U8" s="43" t="s">
        <v>55</v>
      </c>
      <c r="V8" s="43"/>
      <c r="W8" s="43"/>
      <c r="X8" s="43"/>
      <c r="Y8" s="43"/>
    </row>
    <row r="9" spans="3:26">
      <c r="C9" s="202" t="s">
        <v>153</v>
      </c>
      <c r="D9" s="212"/>
      <c r="E9" s="187" t="s">
        <v>154</v>
      </c>
      <c r="F9" s="188"/>
      <c r="G9" s="188"/>
      <c r="H9" s="188"/>
      <c r="I9" s="188"/>
      <c r="J9" s="188"/>
      <c r="K9" s="202" t="s">
        <v>102</v>
      </c>
      <c r="L9" s="202" t="s">
        <v>64</v>
      </c>
      <c r="M9" s="154" t="s">
        <v>103</v>
      </c>
      <c r="O9" s="144" t="s">
        <v>155</v>
      </c>
      <c r="P9" s="144" t="s">
        <v>156</v>
      </c>
      <c r="Q9" s="144"/>
      <c r="R9" s="153" t="s">
        <v>62</v>
      </c>
      <c r="U9" s="42" t="s">
        <v>112</v>
      </c>
    </row>
    <row r="10" spans="3:26">
      <c r="C10" s="203"/>
      <c r="D10" s="125"/>
      <c r="E10" s="128" t="s">
        <v>157</v>
      </c>
      <c r="F10" s="129"/>
      <c r="G10" s="128" t="s">
        <v>158</v>
      </c>
      <c r="H10" s="128"/>
      <c r="I10" s="128" t="s">
        <v>62</v>
      </c>
      <c r="J10" s="129"/>
      <c r="K10" s="203"/>
      <c r="L10" s="203"/>
      <c r="M10" s="209"/>
      <c r="O10" s="144"/>
      <c r="P10" s="39" t="s">
        <v>28</v>
      </c>
      <c r="Q10" s="39" t="s">
        <v>159</v>
      </c>
      <c r="R10" s="153"/>
      <c r="U10" s="47" t="s">
        <v>114</v>
      </c>
      <c r="V10" s="38"/>
      <c r="W10" s="38"/>
      <c r="X10" s="38"/>
    </row>
    <row r="11" spans="3:26">
      <c r="C11" s="203"/>
      <c r="D11" s="125"/>
      <c r="E11" s="5" t="s">
        <v>3</v>
      </c>
      <c r="F11" s="3" t="s">
        <v>66</v>
      </c>
      <c r="G11" s="5" t="s">
        <v>3</v>
      </c>
      <c r="H11" s="5" t="s">
        <v>66</v>
      </c>
      <c r="I11" s="5" t="s">
        <v>3</v>
      </c>
      <c r="J11" s="3" t="s">
        <v>66</v>
      </c>
      <c r="K11" s="203"/>
      <c r="L11" s="203"/>
      <c r="M11" s="209"/>
      <c r="O11" s="40" t="s">
        <v>70</v>
      </c>
      <c r="P11" s="41">
        <v>1</v>
      </c>
      <c r="Q11" s="41">
        <v>1</v>
      </c>
      <c r="R11" s="42">
        <v>2</v>
      </c>
      <c r="U11" s="38"/>
      <c r="V11" s="38"/>
      <c r="W11" s="38"/>
      <c r="X11" s="38"/>
    </row>
    <row r="12" spans="3:26">
      <c r="C12" s="150" t="s">
        <v>69</v>
      </c>
      <c r="D12" s="6" t="s">
        <v>70</v>
      </c>
      <c r="E12" s="7">
        <v>1</v>
      </c>
      <c r="F12" s="8">
        <f>$E12/I$16*100</f>
        <v>5</v>
      </c>
      <c r="G12" s="7">
        <v>1</v>
      </c>
      <c r="H12" s="9">
        <f>G12/I16*100</f>
        <v>5</v>
      </c>
      <c r="I12" s="57">
        <v>2</v>
      </c>
      <c r="J12" s="8">
        <f>$I12/I$16*100</f>
        <v>10</v>
      </c>
      <c r="K12" s="158">
        <v>0.33</v>
      </c>
      <c r="L12" s="158">
        <v>0.84</v>
      </c>
      <c r="M12" s="158">
        <v>0.09</v>
      </c>
      <c r="O12" s="40" t="s">
        <v>74</v>
      </c>
      <c r="P12" s="41">
        <v>0</v>
      </c>
      <c r="Q12" s="41">
        <v>0</v>
      </c>
      <c r="R12" s="42">
        <v>0</v>
      </c>
      <c r="U12" s="38"/>
      <c r="V12" s="38"/>
      <c r="W12" s="38"/>
      <c r="X12" s="38"/>
      <c r="Y12" s="62" t="s">
        <v>118</v>
      </c>
      <c r="Z12" s="68">
        <v>0.84</v>
      </c>
    </row>
    <row r="13" spans="3:26">
      <c r="C13" s="151"/>
      <c r="D13" s="10" t="s">
        <v>74</v>
      </c>
      <c r="E13" s="11">
        <v>0</v>
      </c>
      <c r="F13" s="12">
        <f>$E13/I$16*100</f>
        <v>0</v>
      </c>
      <c r="G13" s="11">
        <v>0</v>
      </c>
      <c r="H13" s="13">
        <f>$G13/I$16*100</f>
        <v>0</v>
      </c>
      <c r="I13" s="58">
        <v>0</v>
      </c>
      <c r="J13" s="12">
        <f>$I13/I$16*100</f>
        <v>0</v>
      </c>
      <c r="K13" s="158"/>
      <c r="L13" s="158"/>
      <c r="M13" s="158"/>
      <c r="O13" s="40" t="s">
        <v>78</v>
      </c>
      <c r="P13" s="41">
        <v>3</v>
      </c>
      <c r="Q13" s="41">
        <v>5</v>
      </c>
      <c r="R13" s="42">
        <v>8</v>
      </c>
      <c r="U13" s="38"/>
      <c r="V13" s="38"/>
      <c r="W13" s="38"/>
      <c r="X13" s="38"/>
    </row>
    <row r="14" spans="3:26">
      <c r="C14" s="151"/>
      <c r="D14" s="10" t="s">
        <v>78</v>
      </c>
      <c r="E14" s="11">
        <v>3</v>
      </c>
      <c r="F14" s="12">
        <f>$E14/I$16*100</f>
        <v>15</v>
      </c>
      <c r="G14" s="11">
        <v>5</v>
      </c>
      <c r="H14" s="13">
        <f>$G14/I$16*100</f>
        <v>25</v>
      </c>
      <c r="I14" s="58">
        <v>8</v>
      </c>
      <c r="J14" s="12">
        <f>$I14/I$16*100</f>
        <v>40</v>
      </c>
      <c r="K14" s="158"/>
      <c r="L14" s="158"/>
      <c r="M14" s="158"/>
      <c r="O14" s="40" t="s">
        <v>82</v>
      </c>
      <c r="P14" s="41">
        <v>3</v>
      </c>
      <c r="Q14" s="41">
        <v>7</v>
      </c>
      <c r="R14" s="42">
        <v>10</v>
      </c>
    </row>
    <row r="15" spans="3:26">
      <c r="C15" s="151"/>
      <c r="D15" s="10" t="s">
        <v>82</v>
      </c>
      <c r="E15" s="11">
        <v>3</v>
      </c>
      <c r="F15" s="12">
        <f>$E15/I$16*100</f>
        <v>15</v>
      </c>
      <c r="G15" s="11">
        <v>7</v>
      </c>
      <c r="H15" s="13">
        <f>$G15/I$16*100</f>
        <v>35</v>
      </c>
      <c r="I15" s="58">
        <v>10</v>
      </c>
      <c r="J15" s="12">
        <f>$I15/I$16*100</f>
        <v>50</v>
      </c>
      <c r="K15" s="158"/>
      <c r="L15" s="158"/>
      <c r="M15" s="158"/>
      <c r="O15" s="44" t="s">
        <v>62</v>
      </c>
      <c r="P15" s="45">
        <f>SUM(P11:P14)</f>
        <v>7</v>
      </c>
      <c r="Q15" s="45">
        <f>SUM(Q11:Q14)</f>
        <v>13</v>
      </c>
      <c r="R15" s="46">
        <f>SUM(R11:R14)</f>
        <v>20</v>
      </c>
      <c r="Y15" s="62" t="s">
        <v>119</v>
      </c>
      <c r="Z15" s="56">
        <f>R29</f>
        <v>0.32967032967033</v>
      </c>
    </row>
    <row r="16" spans="3:26">
      <c r="C16" s="152"/>
      <c r="D16" s="14" t="s">
        <v>62</v>
      </c>
      <c r="E16" s="15">
        <f t="shared" ref="E16:J16" si="0">SUM(E12:E15)</f>
        <v>7</v>
      </c>
      <c r="F16" s="16">
        <f t="shared" si="0"/>
        <v>35</v>
      </c>
      <c r="G16" s="15">
        <f t="shared" si="0"/>
        <v>13</v>
      </c>
      <c r="H16" s="17">
        <f t="shared" si="0"/>
        <v>65</v>
      </c>
      <c r="I16" s="15">
        <f t="shared" si="0"/>
        <v>20</v>
      </c>
      <c r="J16" s="16">
        <f t="shared" si="0"/>
        <v>100</v>
      </c>
      <c r="K16" s="158"/>
      <c r="L16" s="158"/>
      <c r="M16" s="158"/>
    </row>
    <row r="17" spans="3:27">
      <c r="C17" s="131" t="s">
        <v>108</v>
      </c>
      <c r="D17" s="132"/>
      <c r="E17" s="132"/>
      <c r="F17" s="132"/>
      <c r="G17" s="132"/>
      <c r="H17" s="132"/>
      <c r="I17" s="132"/>
      <c r="J17" s="132"/>
      <c r="K17" s="140">
        <v>5.99</v>
      </c>
      <c r="L17" s="189"/>
      <c r="M17" s="141"/>
      <c r="O17" s="48" t="s">
        <v>120</v>
      </c>
      <c r="P17" s="49"/>
      <c r="Q17" s="49"/>
      <c r="R17" s="49"/>
    </row>
    <row r="18" spans="3:27">
      <c r="C18" s="198" t="s">
        <v>160</v>
      </c>
      <c r="D18" s="18" t="s">
        <v>40</v>
      </c>
      <c r="E18" s="19">
        <v>4</v>
      </c>
      <c r="F18" s="20">
        <f>$E18/I$22*100</f>
        <v>20</v>
      </c>
      <c r="G18" s="19">
        <v>0</v>
      </c>
      <c r="H18" s="21">
        <f>$G18/I$22*100</f>
        <v>0</v>
      </c>
      <c r="I18" s="59">
        <v>4</v>
      </c>
      <c r="J18" s="20">
        <f>$I18/I$22*100</f>
        <v>20</v>
      </c>
      <c r="K18" s="158">
        <v>11.84</v>
      </c>
      <c r="L18" s="204">
        <v>0</v>
      </c>
      <c r="M18" s="158">
        <v>0.77</v>
      </c>
      <c r="P18" s="2">
        <f t="shared" ref="P18:Q21" si="1">$R11*P$15/$R$15</f>
        <v>0.7</v>
      </c>
      <c r="Q18" s="2">
        <f t="shared" si="1"/>
        <v>1.3</v>
      </c>
      <c r="R18" s="50">
        <f>SUM(P18:Q18)</f>
        <v>2</v>
      </c>
    </row>
    <row r="19" spans="3:27">
      <c r="C19" s="151"/>
      <c r="D19" s="22" t="s">
        <v>17</v>
      </c>
      <c r="E19" s="11">
        <v>2</v>
      </c>
      <c r="F19" s="20">
        <f>$E19/I$22*100</f>
        <v>10</v>
      </c>
      <c r="G19" s="11">
        <v>2</v>
      </c>
      <c r="H19" s="21">
        <f>$G19/I$22*100</f>
        <v>10</v>
      </c>
      <c r="I19" s="58">
        <v>4</v>
      </c>
      <c r="J19" s="20">
        <f>$I19/I$22*100</f>
        <v>20</v>
      </c>
      <c r="K19" s="158"/>
      <c r="L19" s="204"/>
      <c r="M19" s="158"/>
      <c r="P19" s="2">
        <f t="shared" si="1"/>
        <v>0</v>
      </c>
      <c r="Q19" s="2">
        <f t="shared" si="1"/>
        <v>0</v>
      </c>
      <c r="R19" s="50">
        <f>SUM(P19:Q19)</f>
        <v>0</v>
      </c>
      <c r="U19" s="54" t="s">
        <v>96</v>
      </c>
      <c r="V19" s="54"/>
      <c r="W19" s="54"/>
      <c r="X19" s="147" t="s">
        <v>122</v>
      </c>
      <c r="Y19" s="147"/>
      <c r="Z19" s="66">
        <f>(3-1)*(2-1)</f>
        <v>2</v>
      </c>
    </row>
    <row r="20" spans="3:27">
      <c r="C20" s="151"/>
      <c r="D20" s="22" t="s">
        <v>34</v>
      </c>
      <c r="E20" s="11">
        <v>1</v>
      </c>
      <c r="F20" s="20">
        <f>$E20/I$22*100</f>
        <v>5</v>
      </c>
      <c r="G20" s="11">
        <v>6</v>
      </c>
      <c r="H20" s="21">
        <f>$G20/I$22*100</f>
        <v>30</v>
      </c>
      <c r="I20" s="58">
        <v>7</v>
      </c>
      <c r="J20" s="20">
        <f>$I20/I$22*100</f>
        <v>35</v>
      </c>
      <c r="K20" s="158"/>
      <c r="L20" s="204"/>
      <c r="M20" s="158"/>
      <c r="P20" s="2">
        <f t="shared" si="1"/>
        <v>2.8</v>
      </c>
      <c r="Q20" s="2">
        <f t="shared" si="1"/>
        <v>5.2</v>
      </c>
      <c r="R20" s="50">
        <f>SUM(P20:Q20)</f>
        <v>8</v>
      </c>
      <c r="X20" s="65"/>
      <c r="Y20" s="65" t="s">
        <v>100</v>
      </c>
      <c r="Z20" s="66">
        <v>0.05</v>
      </c>
      <c r="AA20" s="67">
        <f>Z20</f>
        <v>0.05</v>
      </c>
    </row>
    <row r="21" spans="3:27">
      <c r="C21" s="151"/>
      <c r="D21" s="10" t="s">
        <v>23</v>
      </c>
      <c r="E21" s="11">
        <v>0</v>
      </c>
      <c r="F21" s="20">
        <f>$E21/I$22*100</f>
        <v>0</v>
      </c>
      <c r="G21" s="11">
        <v>5</v>
      </c>
      <c r="H21" s="21">
        <f>$G21/I$22*100</f>
        <v>25</v>
      </c>
      <c r="I21" s="58">
        <v>5</v>
      </c>
      <c r="J21" s="20">
        <f>$I21/I$22*100</f>
        <v>25</v>
      </c>
      <c r="K21" s="158"/>
      <c r="L21" s="204"/>
      <c r="M21" s="158"/>
      <c r="P21" s="2">
        <f t="shared" si="1"/>
        <v>3.5</v>
      </c>
      <c r="Q21" s="2">
        <f t="shared" si="1"/>
        <v>6.5</v>
      </c>
      <c r="R21" s="50">
        <f>SUM(P21:Q21)</f>
        <v>10</v>
      </c>
      <c r="W21" s="148" t="s">
        <v>123</v>
      </c>
      <c r="X21" s="149"/>
      <c r="Y21" s="149"/>
      <c r="Z21" s="56">
        <f>CHIINV(Z20,Z19)</f>
        <v>5.9914645471079799</v>
      </c>
    </row>
    <row r="22" spans="3:27">
      <c r="C22" s="152"/>
      <c r="D22" s="14" t="s">
        <v>62</v>
      </c>
      <c r="E22" s="15">
        <f t="shared" ref="E22:J22" si="2">SUM(E18:E21)</f>
        <v>7</v>
      </c>
      <c r="F22" s="16">
        <f t="shared" si="2"/>
        <v>35</v>
      </c>
      <c r="G22" s="15">
        <f t="shared" si="2"/>
        <v>13</v>
      </c>
      <c r="H22" s="17">
        <f t="shared" si="2"/>
        <v>65</v>
      </c>
      <c r="I22" s="15">
        <f t="shared" si="2"/>
        <v>20</v>
      </c>
      <c r="J22" s="16">
        <f t="shared" si="2"/>
        <v>100</v>
      </c>
      <c r="K22" s="158"/>
      <c r="L22" s="204"/>
      <c r="M22" s="158"/>
      <c r="O22" s="51"/>
      <c r="P22" s="52">
        <f>SUM(P18:P21)</f>
        <v>7</v>
      </c>
      <c r="Q22" s="52">
        <f>SUM(Q18:Q21)</f>
        <v>13</v>
      </c>
      <c r="R22" s="52">
        <f>SUM(R18:R21)</f>
        <v>20</v>
      </c>
      <c r="U22" s="130" t="s">
        <v>125</v>
      </c>
      <c r="V22" s="127"/>
      <c r="W22" s="127"/>
      <c r="X22" s="127"/>
      <c r="Y22" s="127"/>
      <c r="Z22" s="127"/>
    </row>
    <row r="23" spans="3:27">
      <c r="C23" s="131" t="s">
        <v>108</v>
      </c>
      <c r="D23" s="132"/>
      <c r="E23" s="132"/>
      <c r="F23" s="132"/>
      <c r="G23" s="132"/>
      <c r="H23" s="132"/>
      <c r="I23" s="132"/>
      <c r="J23" s="132"/>
      <c r="K23" s="140">
        <v>7.81</v>
      </c>
      <c r="L23" s="189"/>
      <c r="M23" s="141"/>
      <c r="U23" s="130" t="s">
        <v>126</v>
      </c>
      <c r="V23" s="130"/>
      <c r="W23" s="130"/>
      <c r="X23" s="130"/>
      <c r="Y23" s="130"/>
      <c r="Z23" s="130"/>
      <c r="AA23" s="130"/>
    </row>
    <row r="24" spans="3:27">
      <c r="C24" s="198" t="s">
        <v>161</v>
      </c>
      <c r="D24" s="23" t="s">
        <v>29</v>
      </c>
      <c r="E24" s="19">
        <v>5</v>
      </c>
      <c r="F24" s="20">
        <f>$E24/I$29*100</f>
        <v>25</v>
      </c>
      <c r="G24" s="19">
        <v>0</v>
      </c>
      <c r="H24" s="21">
        <f>$G24/I$29*100</f>
        <v>0</v>
      </c>
      <c r="I24" s="59">
        <v>5</v>
      </c>
      <c r="J24" s="20">
        <f>$I24/I$29*100</f>
        <v>25</v>
      </c>
      <c r="K24" s="204">
        <v>20</v>
      </c>
      <c r="L24" s="204">
        <v>0</v>
      </c>
      <c r="M24" s="204">
        <v>1</v>
      </c>
      <c r="O24" s="48" t="s">
        <v>124</v>
      </c>
      <c r="P24" s="49"/>
      <c r="Q24" s="49"/>
      <c r="R24" s="53"/>
    </row>
    <row r="25" spans="3:27" ht="15.75">
      <c r="C25" s="151"/>
      <c r="D25" s="22" t="s">
        <v>24</v>
      </c>
      <c r="E25" s="11">
        <v>0</v>
      </c>
      <c r="F25" s="20">
        <f>$E25/I$29*100</f>
        <v>0</v>
      </c>
      <c r="G25" s="11">
        <v>7</v>
      </c>
      <c r="H25" s="21">
        <f>$G25/I$29*100</f>
        <v>35</v>
      </c>
      <c r="I25" s="58">
        <v>7</v>
      </c>
      <c r="J25" s="20">
        <f>$I25/I$29*100</f>
        <v>35</v>
      </c>
      <c r="K25" s="204"/>
      <c r="L25" s="204"/>
      <c r="M25" s="204"/>
      <c r="P25" s="2">
        <f>POWER(P11-P18,2)/P18</f>
        <v>0.128571428571429</v>
      </c>
      <c r="Q25" s="2">
        <f>POWER(Q11-Q18,2)/Q18</f>
        <v>6.9230769230769207E-2</v>
      </c>
      <c r="U25" s="146" t="s">
        <v>117</v>
      </c>
      <c r="V25" s="146"/>
      <c r="W25" s="146"/>
    </row>
    <row r="26" spans="3:27">
      <c r="C26" s="151"/>
      <c r="D26" s="22" t="s">
        <v>18</v>
      </c>
      <c r="E26" s="11">
        <v>0</v>
      </c>
      <c r="F26" s="20">
        <f>$E26/I$29*100</f>
        <v>0</v>
      </c>
      <c r="G26" s="11">
        <v>5</v>
      </c>
      <c r="H26" s="21">
        <f>$G26/I$29*100</f>
        <v>25</v>
      </c>
      <c r="I26" s="58">
        <v>5</v>
      </c>
      <c r="J26" s="20">
        <f>$I26/I$29*100</f>
        <v>25</v>
      </c>
      <c r="K26" s="204"/>
      <c r="L26" s="204"/>
      <c r="M26" s="204"/>
      <c r="P26" s="2">
        <v>0</v>
      </c>
      <c r="Q26" s="2">
        <v>0</v>
      </c>
    </row>
    <row r="27" spans="3:27">
      <c r="C27" s="151"/>
      <c r="D27" s="22" t="s">
        <v>46</v>
      </c>
      <c r="E27" s="11">
        <v>0</v>
      </c>
      <c r="F27" s="20">
        <f>$E27/I$29*100</f>
        <v>0</v>
      </c>
      <c r="G27" s="11">
        <v>1</v>
      </c>
      <c r="H27" s="21">
        <f>$G27/I$29*100</f>
        <v>5</v>
      </c>
      <c r="I27" s="58">
        <v>1</v>
      </c>
      <c r="J27" s="20">
        <f>$I27/I$29*100</f>
        <v>5</v>
      </c>
      <c r="K27" s="204"/>
      <c r="L27" s="204"/>
      <c r="M27" s="204"/>
      <c r="P27" s="2">
        <f>POWER(P13-P20,2)/P20</f>
        <v>1.4285714285714299E-2</v>
      </c>
      <c r="Q27" s="2">
        <f>POWER(Q13-Q20,2)/Q20</f>
        <v>7.6923076923077101E-3</v>
      </c>
      <c r="X27" s="62" t="s">
        <v>121</v>
      </c>
      <c r="Y27" s="63">
        <f>SQRT(Z15/(39*MIN(2,1)))</f>
        <v>9.1940662256491806E-2</v>
      </c>
    </row>
    <row r="28" spans="3:27">
      <c r="C28" s="151"/>
      <c r="D28" s="22" t="s">
        <v>36</v>
      </c>
      <c r="E28" s="11">
        <v>2</v>
      </c>
      <c r="F28" s="20">
        <f>$E28/I$29*100</f>
        <v>10</v>
      </c>
      <c r="G28" s="11">
        <v>0</v>
      </c>
      <c r="H28" s="21">
        <f>$G28/I$29*100</f>
        <v>0</v>
      </c>
      <c r="I28" s="58">
        <v>2</v>
      </c>
      <c r="J28" s="20">
        <f>$I28/I$29*100</f>
        <v>10</v>
      </c>
      <c r="K28" s="204"/>
      <c r="L28" s="204"/>
      <c r="M28" s="204"/>
      <c r="P28" s="2">
        <f>POWER(P14-P21,2)/P21</f>
        <v>7.1428571428571397E-2</v>
      </c>
      <c r="Q28" s="2">
        <f>POWER(Q14-Q21,2)/Q21</f>
        <v>3.8461538461538498E-2</v>
      </c>
    </row>
    <row r="29" spans="3:27">
      <c r="C29" s="152"/>
      <c r="D29" s="14" t="s">
        <v>62</v>
      </c>
      <c r="E29" s="15">
        <f t="shared" ref="E29:J29" si="3">SUM(E24:E28)</f>
        <v>7</v>
      </c>
      <c r="F29" s="16">
        <f t="shared" si="3"/>
        <v>35</v>
      </c>
      <c r="G29" s="15">
        <f t="shared" si="3"/>
        <v>13</v>
      </c>
      <c r="H29" s="17">
        <f t="shared" si="3"/>
        <v>65</v>
      </c>
      <c r="I29" s="15">
        <f t="shared" si="3"/>
        <v>20</v>
      </c>
      <c r="J29" s="16">
        <f t="shared" si="3"/>
        <v>100</v>
      </c>
      <c r="K29" s="204"/>
      <c r="L29" s="204"/>
      <c r="M29" s="204"/>
      <c r="O29" s="51"/>
      <c r="P29" s="52"/>
      <c r="Q29" s="55" t="s">
        <v>119</v>
      </c>
      <c r="R29" s="56">
        <f>SUM(P25:Q28)</f>
        <v>0.32967032967033</v>
      </c>
    </row>
    <row r="30" spans="3:27">
      <c r="C30" s="135" t="s">
        <v>108</v>
      </c>
      <c r="D30" s="136"/>
      <c r="E30" s="136"/>
      <c r="F30" s="136"/>
      <c r="G30" s="136"/>
      <c r="H30" s="136"/>
      <c r="I30" s="136"/>
      <c r="J30" s="136"/>
      <c r="K30" s="190">
        <v>9.49</v>
      </c>
      <c r="L30" s="191"/>
      <c r="M30" s="192"/>
    </row>
    <row r="31" spans="3:27">
      <c r="C31" s="199" t="s">
        <v>162</v>
      </c>
      <c r="D31" s="24" t="s">
        <v>21</v>
      </c>
      <c r="E31" s="25">
        <v>0</v>
      </c>
      <c r="F31" s="26">
        <v>0</v>
      </c>
      <c r="G31" s="27">
        <v>13</v>
      </c>
      <c r="H31" s="28">
        <v>65</v>
      </c>
      <c r="I31" s="60">
        <v>13</v>
      </c>
      <c r="J31" s="26">
        <v>65</v>
      </c>
      <c r="K31" s="205">
        <v>20</v>
      </c>
      <c r="L31" s="207">
        <v>0</v>
      </c>
      <c r="M31" s="210">
        <v>1</v>
      </c>
    </row>
    <row r="32" spans="3:27">
      <c r="C32" s="200"/>
      <c r="D32" s="29" t="s">
        <v>37</v>
      </c>
      <c r="E32" s="30">
        <v>2</v>
      </c>
      <c r="F32" s="31">
        <v>10</v>
      </c>
      <c r="G32" s="32">
        <v>0</v>
      </c>
      <c r="H32" s="33">
        <v>0</v>
      </c>
      <c r="I32" s="61">
        <v>2</v>
      </c>
      <c r="J32" s="31">
        <v>10</v>
      </c>
      <c r="K32" s="206"/>
      <c r="L32" s="208"/>
      <c r="M32" s="211"/>
    </row>
    <row r="33" spans="2:25">
      <c r="C33" s="200"/>
      <c r="D33" s="29" t="s">
        <v>163</v>
      </c>
      <c r="E33" s="30">
        <v>3</v>
      </c>
      <c r="F33" s="31">
        <v>15</v>
      </c>
      <c r="G33" s="32">
        <v>0</v>
      </c>
      <c r="H33" s="33">
        <v>0</v>
      </c>
      <c r="I33" s="61">
        <v>3</v>
      </c>
      <c r="J33" s="31">
        <v>15</v>
      </c>
      <c r="K33" s="206"/>
      <c r="L33" s="208"/>
      <c r="M33" s="211"/>
    </row>
    <row r="34" spans="2:25">
      <c r="C34" s="200"/>
      <c r="D34" s="29" t="s">
        <v>164</v>
      </c>
      <c r="E34" s="30">
        <v>1</v>
      </c>
      <c r="F34" s="31">
        <v>5</v>
      </c>
      <c r="G34" s="32">
        <v>0</v>
      </c>
      <c r="H34" s="33">
        <v>0</v>
      </c>
      <c r="I34" s="61">
        <v>1</v>
      </c>
      <c r="J34" s="31">
        <v>5</v>
      </c>
      <c r="K34" s="206"/>
      <c r="L34" s="208"/>
      <c r="M34" s="211"/>
    </row>
    <row r="35" spans="2:25">
      <c r="C35" s="200"/>
      <c r="D35" s="29" t="s">
        <v>165</v>
      </c>
      <c r="E35" s="30">
        <v>1</v>
      </c>
      <c r="F35" s="31">
        <v>5</v>
      </c>
      <c r="G35" s="32">
        <v>0</v>
      </c>
      <c r="H35" s="33">
        <v>0</v>
      </c>
      <c r="I35" s="61">
        <v>1</v>
      </c>
      <c r="J35" s="31">
        <v>5</v>
      </c>
      <c r="K35" s="206"/>
      <c r="L35" s="208"/>
      <c r="M35" s="211"/>
    </row>
    <row r="36" spans="2:25">
      <c r="C36" s="201"/>
      <c r="D36" s="34" t="s">
        <v>62</v>
      </c>
      <c r="E36" s="35">
        <v>7</v>
      </c>
      <c r="F36" s="36">
        <v>35</v>
      </c>
      <c r="G36" s="37">
        <v>13</v>
      </c>
      <c r="H36" s="34">
        <v>65</v>
      </c>
      <c r="I36" s="35">
        <v>20</v>
      </c>
      <c r="J36" s="36">
        <v>100</v>
      </c>
      <c r="K36" s="206"/>
      <c r="L36" s="208"/>
      <c r="M36" s="211"/>
    </row>
    <row r="37" spans="2:25" ht="16.5">
      <c r="C37" s="193" t="s">
        <v>166</v>
      </c>
      <c r="D37" s="193"/>
      <c r="E37" s="193"/>
      <c r="F37" s="193"/>
      <c r="G37" s="193"/>
      <c r="H37" s="193"/>
      <c r="I37" s="193"/>
      <c r="J37" s="194"/>
      <c r="K37" s="195">
        <v>9.49</v>
      </c>
      <c r="L37" s="196"/>
      <c r="M37" s="197"/>
    </row>
    <row r="41" spans="2: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2:25" ht="15.75">
      <c r="B42" s="38"/>
      <c r="C42" s="144" t="s">
        <v>167</v>
      </c>
      <c r="D42" s="144" t="s">
        <v>156</v>
      </c>
      <c r="E42" s="144"/>
      <c r="F42" s="153" t="s">
        <v>62</v>
      </c>
      <c r="G42" s="38"/>
      <c r="H42" s="146" t="s">
        <v>117</v>
      </c>
      <c r="I42" s="146"/>
      <c r="J42" s="146"/>
      <c r="M42" s="38"/>
      <c r="T42" s="146" t="s">
        <v>117</v>
      </c>
      <c r="U42" s="146"/>
      <c r="V42" s="146"/>
      <c r="Y42" s="38"/>
    </row>
    <row r="43" spans="2:25">
      <c r="B43" s="38"/>
      <c r="C43" s="144"/>
      <c r="D43" s="39" t="s">
        <v>28</v>
      </c>
      <c r="E43" s="39" t="s">
        <v>159</v>
      </c>
      <c r="F43" s="153"/>
      <c r="G43" s="38"/>
      <c r="M43" s="38"/>
      <c r="Y43" s="38"/>
    </row>
    <row r="44" spans="2:25">
      <c r="B44" s="38"/>
      <c r="C44" s="40" t="s">
        <v>40</v>
      </c>
      <c r="D44" s="41">
        <v>4</v>
      </c>
      <c r="E44" s="41">
        <v>0</v>
      </c>
      <c r="F44" s="42">
        <v>4</v>
      </c>
      <c r="G44" s="38"/>
      <c r="K44" s="62" t="s">
        <v>121</v>
      </c>
      <c r="L44" s="63">
        <f>SQRT(F62/F48*MIN(2-1,4-1))</f>
        <v>0.76930925816207196</v>
      </c>
      <c r="M44" s="38"/>
      <c r="W44" s="62" t="s">
        <v>121</v>
      </c>
      <c r="X44" s="63">
        <f>SQRT(R65/I36*MIN(5-1,2-1))</f>
        <v>1</v>
      </c>
      <c r="Y44" s="38"/>
    </row>
    <row r="45" spans="2:25">
      <c r="B45" s="38"/>
      <c r="C45" s="38" t="s">
        <v>17</v>
      </c>
      <c r="D45" s="41">
        <v>2</v>
      </c>
      <c r="E45" s="41">
        <v>2</v>
      </c>
      <c r="F45" s="42">
        <v>4</v>
      </c>
      <c r="G45" s="38"/>
      <c r="M45" s="38"/>
      <c r="Y45" s="38"/>
    </row>
    <row r="46" spans="2:25">
      <c r="B46" s="38"/>
      <c r="C46" s="38" t="s">
        <v>34</v>
      </c>
      <c r="D46" s="41">
        <v>1</v>
      </c>
      <c r="E46" s="41">
        <v>6</v>
      </c>
      <c r="F46" s="42">
        <v>7</v>
      </c>
      <c r="G46" s="38"/>
      <c r="H46" s="38"/>
      <c r="I46" s="38"/>
      <c r="J46" s="38"/>
      <c r="K46" s="38"/>
      <c r="L46" s="38"/>
      <c r="M46" s="38"/>
      <c r="T46" s="38"/>
      <c r="U46" s="38"/>
      <c r="V46" s="38"/>
      <c r="W46" s="38"/>
      <c r="X46" s="38"/>
      <c r="Y46" s="38"/>
    </row>
    <row r="47" spans="2:25">
      <c r="B47" s="38"/>
      <c r="C47" s="40" t="s">
        <v>23</v>
      </c>
      <c r="D47" s="41">
        <v>0</v>
      </c>
      <c r="E47" s="41">
        <v>5</v>
      </c>
      <c r="F47" s="42">
        <v>5</v>
      </c>
      <c r="G47" s="38"/>
      <c r="H47" s="43" t="s">
        <v>55</v>
      </c>
      <c r="I47" s="43"/>
      <c r="J47" s="43"/>
      <c r="K47" s="43"/>
      <c r="L47" s="43"/>
      <c r="T47" s="43" t="s">
        <v>55</v>
      </c>
      <c r="U47" s="43"/>
      <c r="V47" s="43"/>
      <c r="W47" s="43"/>
      <c r="X47" s="43"/>
    </row>
    <row r="48" spans="2:25">
      <c r="B48" s="38"/>
      <c r="C48" s="44" t="s">
        <v>62</v>
      </c>
      <c r="D48" s="45">
        <f t="shared" ref="D48:F48" si="4">SUM(D44:D47)</f>
        <v>7</v>
      </c>
      <c r="E48" s="45">
        <f t="shared" si="4"/>
        <v>13</v>
      </c>
      <c r="F48" s="46">
        <f t="shared" si="4"/>
        <v>20</v>
      </c>
      <c r="G48" s="38"/>
      <c r="H48" s="42" t="s">
        <v>112</v>
      </c>
      <c r="T48" s="42" t="s">
        <v>112</v>
      </c>
    </row>
    <row r="49" spans="2:26">
      <c r="B49" s="38"/>
      <c r="G49" s="38"/>
      <c r="H49" s="47" t="s">
        <v>114</v>
      </c>
      <c r="I49" s="38"/>
      <c r="J49" s="38"/>
      <c r="K49" s="38"/>
      <c r="O49" s="44"/>
      <c r="P49" s="45"/>
      <c r="Q49" s="45"/>
      <c r="R49" s="46"/>
      <c r="T49" s="47" t="s">
        <v>114</v>
      </c>
      <c r="U49" s="38"/>
      <c r="V49" s="38"/>
      <c r="W49" s="38"/>
    </row>
    <row r="50" spans="2:26">
      <c r="B50" s="38"/>
      <c r="C50" s="48" t="s">
        <v>120</v>
      </c>
      <c r="D50" s="49"/>
      <c r="E50" s="49"/>
      <c r="F50" s="49"/>
      <c r="G50" s="38"/>
      <c r="H50" s="38"/>
      <c r="I50" s="38"/>
      <c r="J50" s="38"/>
      <c r="K50" s="38"/>
      <c r="T50" s="38"/>
      <c r="U50" s="38"/>
      <c r="V50" s="38"/>
      <c r="W50" s="38"/>
    </row>
    <row r="51" spans="2:26">
      <c r="B51" s="38"/>
      <c r="D51" s="2">
        <f t="shared" ref="D51:E54" si="5">$F44*D$48/$F$48</f>
        <v>1.4</v>
      </c>
      <c r="E51" s="2">
        <f t="shared" si="5"/>
        <v>2.6</v>
      </c>
      <c r="F51" s="50">
        <f t="shared" ref="F51:F54" si="6">SUM(D51:E51)</f>
        <v>4</v>
      </c>
      <c r="G51" s="38"/>
      <c r="H51" s="38"/>
      <c r="I51" s="38"/>
      <c r="J51" s="38"/>
      <c r="K51" s="38"/>
      <c r="O51" s="48" t="s">
        <v>120</v>
      </c>
      <c r="P51" s="49"/>
      <c r="Q51" s="49"/>
      <c r="R51" s="49"/>
      <c r="T51" s="38"/>
      <c r="U51" s="38"/>
      <c r="V51" s="38"/>
      <c r="W51" s="38"/>
    </row>
    <row r="52" spans="2:26">
      <c r="B52" s="38"/>
      <c r="D52" s="2">
        <f t="shared" si="5"/>
        <v>1.4</v>
      </c>
      <c r="E52" s="2">
        <f t="shared" si="5"/>
        <v>2.6</v>
      </c>
      <c r="F52" s="50">
        <f t="shared" si="6"/>
        <v>4</v>
      </c>
      <c r="G52" s="38"/>
      <c r="H52" s="38"/>
      <c r="I52" s="38"/>
      <c r="J52" s="38"/>
      <c r="K52" s="38"/>
      <c r="L52" s="62" t="s">
        <v>118</v>
      </c>
      <c r="M52" s="64">
        <v>0</v>
      </c>
      <c r="P52" s="2">
        <f t="shared" ref="P52:Q56" si="7">$I31*E$36/$I$36</f>
        <v>4.55</v>
      </c>
      <c r="Q52" s="2">
        <f t="shared" si="7"/>
        <v>22.75</v>
      </c>
      <c r="R52" s="50">
        <f>SUM(P52:Q52)</f>
        <v>27.3</v>
      </c>
      <c r="T52" s="38"/>
      <c r="U52" s="38"/>
      <c r="V52" s="38"/>
      <c r="W52" s="38"/>
      <c r="X52" s="62" t="s">
        <v>118</v>
      </c>
      <c r="Y52" s="64">
        <v>0</v>
      </c>
    </row>
    <row r="53" spans="2:26">
      <c r="B53" s="38"/>
      <c r="D53" s="2">
        <f t="shared" si="5"/>
        <v>2.4500000000000002</v>
      </c>
      <c r="E53" s="2">
        <f t="shared" si="5"/>
        <v>4.55</v>
      </c>
      <c r="F53" s="50">
        <f t="shared" si="6"/>
        <v>7</v>
      </c>
      <c r="G53" s="38"/>
      <c r="P53" s="2">
        <f t="shared" si="7"/>
        <v>0.7</v>
      </c>
      <c r="Q53" s="2">
        <f t="shared" si="7"/>
        <v>3.5</v>
      </c>
      <c r="R53" s="50">
        <f>SUM(P53:Q53)</f>
        <v>4.2</v>
      </c>
    </row>
    <row r="54" spans="2:26">
      <c r="B54" s="38"/>
      <c r="D54" s="2">
        <f t="shared" si="5"/>
        <v>1.75</v>
      </c>
      <c r="E54" s="2">
        <f t="shared" si="5"/>
        <v>3.25</v>
      </c>
      <c r="F54" s="50">
        <f t="shared" si="6"/>
        <v>5</v>
      </c>
      <c r="G54" s="38"/>
      <c r="L54" s="62" t="s">
        <v>119</v>
      </c>
      <c r="M54" s="56">
        <f>F62</f>
        <v>11.836734693877601</v>
      </c>
      <c r="P54" s="2">
        <f t="shared" si="7"/>
        <v>1.05</v>
      </c>
      <c r="Q54" s="2">
        <f t="shared" si="7"/>
        <v>5.25</v>
      </c>
      <c r="R54" s="50">
        <f>SUM(P54:Q54)</f>
        <v>6.3</v>
      </c>
      <c r="X54" s="62" t="s">
        <v>119</v>
      </c>
      <c r="Y54" s="56">
        <f>R65</f>
        <v>20</v>
      </c>
    </row>
    <row r="55" spans="2:26">
      <c r="B55" s="38"/>
      <c r="C55" s="51"/>
      <c r="D55" s="52">
        <f t="shared" ref="D55:F55" si="8">SUM(D51:D54)</f>
        <v>7</v>
      </c>
      <c r="E55" s="52">
        <f t="shared" si="8"/>
        <v>13</v>
      </c>
      <c r="F55" s="52">
        <f t="shared" si="8"/>
        <v>20</v>
      </c>
      <c r="G55" s="38"/>
      <c r="P55" s="2">
        <f t="shared" si="7"/>
        <v>0.35</v>
      </c>
      <c r="Q55" s="2">
        <f t="shared" si="7"/>
        <v>1.75</v>
      </c>
      <c r="R55" s="50">
        <f>SUM(P55:Q55)</f>
        <v>2.1</v>
      </c>
    </row>
    <row r="56" spans="2:26">
      <c r="B56" s="38"/>
      <c r="G56" s="38"/>
      <c r="P56" s="2">
        <f t="shared" si="7"/>
        <v>0.35</v>
      </c>
      <c r="Q56" s="2">
        <f t="shared" si="7"/>
        <v>1.75</v>
      </c>
      <c r="R56" s="50">
        <f>SUM(P56:Q56)</f>
        <v>2.1</v>
      </c>
    </row>
    <row r="57" spans="2:26">
      <c r="C57" s="48" t="s">
        <v>124</v>
      </c>
      <c r="D57" s="49"/>
      <c r="E57" s="49"/>
      <c r="F57" s="53"/>
      <c r="O57" s="51"/>
      <c r="P57" s="52">
        <f>SUM(P52:P56)</f>
        <v>7</v>
      </c>
      <c r="Q57" s="52">
        <f>SUM(Q52:Q56)</f>
        <v>35</v>
      </c>
      <c r="R57" s="52">
        <f>SUM(R52:R56)</f>
        <v>42</v>
      </c>
    </row>
    <row r="58" spans="2:26">
      <c r="D58" s="2">
        <f t="shared" ref="D58:E61" si="9">POWER(D44-D51,2)/D51</f>
        <v>4.8285714285714301</v>
      </c>
      <c r="E58" s="2">
        <f t="shared" si="9"/>
        <v>2.6</v>
      </c>
      <c r="H58" s="54" t="s">
        <v>96</v>
      </c>
      <c r="I58" s="54"/>
      <c r="J58" s="54"/>
      <c r="K58" s="147" t="s">
        <v>122</v>
      </c>
      <c r="L58" s="147"/>
      <c r="M58" s="66">
        <f>(2-1)*(4-1)</f>
        <v>3</v>
      </c>
      <c r="T58" s="54" t="s">
        <v>96</v>
      </c>
      <c r="U58" s="54"/>
      <c r="V58" s="54"/>
      <c r="W58" s="147" t="s">
        <v>122</v>
      </c>
      <c r="X58" s="147"/>
      <c r="Y58" s="66">
        <f>(2-1)*(5-1)</f>
        <v>4</v>
      </c>
    </row>
    <row r="59" spans="2:26">
      <c r="D59" s="2">
        <f t="shared" si="9"/>
        <v>0.25714285714285701</v>
      </c>
      <c r="E59" s="2">
        <f t="shared" si="9"/>
        <v>0.138461538461538</v>
      </c>
      <c r="K59" s="65"/>
      <c r="L59" s="65" t="s">
        <v>100</v>
      </c>
      <c r="M59" s="66">
        <v>0.05</v>
      </c>
      <c r="N59" s="67">
        <f>M59</f>
        <v>0.05</v>
      </c>
      <c r="O59" s="48" t="s">
        <v>124</v>
      </c>
      <c r="P59" s="49"/>
      <c r="Q59" s="49"/>
      <c r="R59" s="53"/>
      <c r="W59" s="65"/>
      <c r="X59" s="65" t="s">
        <v>100</v>
      </c>
      <c r="Y59" s="66">
        <v>0.05</v>
      </c>
      <c r="Z59" s="67">
        <f>Y59</f>
        <v>0.05</v>
      </c>
    </row>
    <row r="60" spans="2:26">
      <c r="D60" s="2">
        <f t="shared" si="9"/>
        <v>0.85816326530612297</v>
      </c>
      <c r="E60" s="2">
        <f t="shared" si="9"/>
        <v>0.462087912087912</v>
      </c>
      <c r="J60" s="148" t="s">
        <v>123</v>
      </c>
      <c r="K60" s="149"/>
      <c r="L60" s="149"/>
      <c r="M60" s="56">
        <f>CHIINV(M59,M58)</f>
        <v>7.8147279032511801</v>
      </c>
      <c r="P60" s="2">
        <f t="shared" ref="P60:Q64" si="10">POWER(E31-P52,2)/P52</f>
        <v>4.55</v>
      </c>
      <c r="Q60" s="2">
        <f t="shared" si="10"/>
        <v>22.75</v>
      </c>
      <c r="V60" s="148" t="s">
        <v>123</v>
      </c>
      <c r="W60" s="149"/>
      <c r="X60" s="149"/>
      <c r="Y60" s="56">
        <f>CHIINV(Y59,Y58)</f>
        <v>9.4877290367811593</v>
      </c>
    </row>
    <row r="61" spans="2:26">
      <c r="D61" s="2">
        <f t="shared" si="9"/>
        <v>1.75</v>
      </c>
      <c r="E61" s="2">
        <f t="shared" si="9"/>
        <v>0.94230769230769196</v>
      </c>
      <c r="H61" s="130" t="s">
        <v>125</v>
      </c>
      <c r="I61" s="127"/>
      <c r="J61" s="127"/>
      <c r="K61" s="127"/>
      <c r="L61" s="127"/>
      <c r="M61" s="127"/>
      <c r="P61" s="2">
        <f t="shared" si="10"/>
        <v>2.4142857142857101</v>
      </c>
      <c r="Q61" s="2">
        <f t="shared" si="10"/>
        <v>12.0714285714286</v>
      </c>
      <c r="T61" s="130" t="s">
        <v>125</v>
      </c>
      <c r="U61" s="127"/>
      <c r="V61" s="127"/>
      <c r="W61" s="127"/>
      <c r="X61" s="127"/>
      <c r="Y61" s="127"/>
    </row>
    <row r="62" spans="2:26">
      <c r="C62" s="51"/>
      <c r="D62" s="52"/>
      <c r="E62" s="55" t="s">
        <v>119</v>
      </c>
      <c r="F62" s="56">
        <f>SUM(D58:E61)</f>
        <v>11.836734693877601</v>
      </c>
      <c r="H62" s="130" t="s">
        <v>126</v>
      </c>
      <c r="I62" s="130"/>
      <c r="J62" s="130"/>
      <c r="K62" s="130"/>
      <c r="L62" s="130"/>
      <c r="M62" s="130"/>
      <c r="N62" s="130"/>
      <c r="P62" s="2">
        <f t="shared" si="10"/>
        <v>3.6214285714285701</v>
      </c>
      <c r="Q62" s="2">
        <f t="shared" si="10"/>
        <v>18.1071428571429</v>
      </c>
      <c r="T62" s="130" t="s">
        <v>126</v>
      </c>
      <c r="U62" s="130"/>
      <c r="V62" s="130"/>
      <c r="W62" s="130"/>
      <c r="X62" s="130"/>
      <c r="Y62" s="130"/>
      <c r="Z62" s="130"/>
    </row>
    <row r="63" spans="2:26">
      <c r="P63" s="2">
        <f t="shared" si="10"/>
        <v>1.20714285714286</v>
      </c>
      <c r="Q63" s="2">
        <f t="shared" si="10"/>
        <v>6.03571428571429</v>
      </c>
    </row>
    <row r="64" spans="2:26">
      <c r="P64" s="2">
        <f t="shared" si="10"/>
        <v>1.20714285714286</v>
      </c>
      <c r="Q64" s="2">
        <f t="shared" si="10"/>
        <v>6.03571428571429</v>
      </c>
    </row>
    <row r="65" spans="3:18">
      <c r="O65" s="51"/>
      <c r="P65" s="52"/>
      <c r="Q65" s="55" t="s">
        <v>119</v>
      </c>
      <c r="R65" s="56">
        <v>20</v>
      </c>
    </row>
    <row r="66" spans="3:18" ht="15.75">
      <c r="C66" s="144" t="s">
        <v>168</v>
      </c>
      <c r="D66" s="39" t="s">
        <v>156</v>
      </c>
      <c r="E66" s="39"/>
      <c r="F66" s="153" t="s">
        <v>62</v>
      </c>
      <c r="H66" s="146" t="s">
        <v>117</v>
      </c>
      <c r="I66" s="146"/>
      <c r="J66" s="146"/>
      <c r="M66" s="38"/>
    </row>
    <row r="67" spans="3:18">
      <c r="C67" s="144"/>
      <c r="D67" s="39" t="s">
        <v>28</v>
      </c>
      <c r="E67" s="39" t="s">
        <v>159</v>
      </c>
      <c r="F67" s="153"/>
      <c r="M67" s="38"/>
    </row>
    <row r="68" spans="3:18">
      <c r="C68" s="38" t="s">
        <v>169</v>
      </c>
      <c r="D68" s="41">
        <v>0</v>
      </c>
      <c r="E68" s="41">
        <v>13</v>
      </c>
      <c r="F68" s="42">
        <v>13</v>
      </c>
      <c r="K68" s="62" t="s">
        <v>121</v>
      </c>
      <c r="L68" s="63">
        <f>SQRT(F89/F73*MIN(2-1,5-1))</f>
        <v>1</v>
      </c>
      <c r="M68" s="38"/>
    </row>
    <row r="69" spans="3:18">
      <c r="C69" s="38" t="s">
        <v>37</v>
      </c>
      <c r="D69" s="41">
        <v>2</v>
      </c>
      <c r="E69" s="41">
        <v>0</v>
      </c>
      <c r="F69" s="42">
        <v>2</v>
      </c>
      <c r="M69" s="38"/>
    </row>
    <row r="70" spans="3:18">
      <c r="C70" s="38" t="s">
        <v>170</v>
      </c>
      <c r="D70" s="41">
        <v>3</v>
      </c>
      <c r="E70" s="41">
        <v>0</v>
      </c>
      <c r="F70" s="42">
        <v>3</v>
      </c>
      <c r="H70" s="38"/>
      <c r="I70" s="38"/>
      <c r="J70" s="38"/>
      <c r="K70" s="38"/>
      <c r="L70" s="38"/>
      <c r="M70" s="38"/>
    </row>
    <row r="71" spans="3:18">
      <c r="C71" s="38" t="s">
        <v>171</v>
      </c>
      <c r="D71" s="41">
        <v>1</v>
      </c>
      <c r="E71" s="41">
        <v>0</v>
      </c>
      <c r="F71" s="42">
        <v>1</v>
      </c>
      <c r="H71" s="43" t="s">
        <v>55</v>
      </c>
      <c r="I71" s="43"/>
      <c r="J71" s="43"/>
      <c r="K71" s="43"/>
      <c r="L71" s="43"/>
    </row>
    <row r="72" spans="3:18">
      <c r="C72" s="38" t="s">
        <v>172</v>
      </c>
      <c r="D72" s="41">
        <v>1</v>
      </c>
      <c r="E72" s="41">
        <v>0</v>
      </c>
      <c r="F72" s="42">
        <v>1</v>
      </c>
      <c r="H72" s="42" t="s">
        <v>112</v>
      </c>
    </row>
    <row r="73" spans="3:18">
      <c r="C73" s="44" t="s">
        <v>62</v>
      </c>
      <c r="D73" s="45">
        <f t="shared" ref="D73:F73" si="11">SUM(D68:D72)</f>
        <v>7</v>
      </c>
      <c r="E73" s="45">
        <f t="shared" si="11"/>
        <v>13</v>
      </c>
      <c r="F73" s="46">
        <f t="shared" si="11"/>
        <v>20</v>
      </c>
      <c r="H73" s="47" t="s">
        <v>114</v>
      </c>
      <c r="I73" s="38"/>
      <c r="J73" s="38"/>
      <c r="K73" s="38"/>
    </row>
    <row r="74" spans="3:18">
      <c r="H74" s="38"/>
      <c r="I74" s="38"/>
      <c r="J74" s="38"/>
      <c r="K74" s="38"/>
    </row>
    <row r="75" spans="3:18">
      <c r="C75" s="48" t="s">
        <v>120</v>
      </c>
      <c r="D75" s="49"/>
      <c r="E75" s="49"/>
      <c r="F75" s="49"/>
      <c r="H75" s="38"/>
      <c r="I75" s="38"/>
      <c r="J75" s="38"/>
      <c r="K75" s="38"/>
    </row>
    <row r="76" spans="3:18">
      <c r="D76" s="2">
        <f t="shared" ref="D76:E80" si="12">$F68*D$73/$F$73</f>
        <v>4.55</v>
      </c>
      <c r="E76" s="2">
        <f t="shared" si="12"/>
        <v>8.4499999999999993</v>
      </c>
      <c r="F76" s="50"/>
      <c r="H76" s="38"/>
      <c r="I76" s="38"/>
      <c r="J76" s="38"/>
      <c r="K76" s="38"/>
      <c r="L76" s="62" t="s">
        <v>118</v>
      </c>
      <c r="M76" s="64">
        <v>0</v>
      </c>
    </row>
    <row r="77" spans="3:18">
      <c r="D77" s="2">
        <f t="shared" si="12"/>
        <v>0.7</v>
      </c>
      <c r="E77" s="2">
        <f t="shared" si="12"/>
        <v>1.3</v>
      </c>
      <c r="F77" s="50"/>
    </row>
    <row r="78" spans="3:18">
      <c r="D78" s="2">
        <f t="shared" si="12"/>
        <v>1.05</v>
      </c>
      <c r="E78" s="2">
        <f t="shared" si="12"/>
        <v>1.95</v>
      </c>
      <c r="F78" s="50"/>
      <c r="L78" s="62" t="s">
        <v>119</v>
      </c>
      <c r="M78" s="56">
        <f>F89</f>
        <v>20</v>
      </c>
    </row>
    <row r="79" spans="3:18">
      <c r="D79" s="2">
        <f t="shared" si="12"/>
        <v>0.35</v>
      </c>
      <c r="E79" s="2">
        <f t="shared" si="12"/>
        <v>0.65</v>
      </c>
      <c r="F79" s="50"/>
    </row>
    <row r="80" spans="3:18">
      <c r="D80" s="2">
        <f t="shared" si="12"/>
        <v>0.35</v>
      </c>
      <c r="E80" s="2">
        <f t="shared" si="12"/>
        <v>0.65</v>
      </c>
      <c r="F80" s="50"/>
    </row>
    <row r="81" spans="3:14">
      <c r="C81" s="51"/>
      <c r="D81" s="52">
        <f t="shared" ref="D81:F81" si="13">SUM(D76:D80)</f>
        <v>7</v>
      </c>
      <c r="E81" s="52">
        <f t="shared" si="13"/>
        <v>13</v>
      </c>
      <c r="F81" s="52">
        <f t="shared" si="13"/>
        <v>0</v>
      </c>
    </row>
    <row r="82" spans="3:14">
      <c r="H82" s="54" t="s">
        <v>96</v>
      </c>
      <c r="I82" s="54"/>
      <c r="J82" s="54"/>
      <c r="K82" s="147" t="s">
        <v>122</v>
      </c>
      <c r="L82" s="147"/>
      <c r="M82" s="66">
        <f>(2-1)*(5-1)</f>
        <v>4</v>
      </c>
    </row>
    <row r="83" spans="3:14">
      <c r="C83" s="48" t="s">
        <v>124</v>
      </c>
      <c r="D83" s="49"/>
      <c r="E83" s="49"/>
      <c r="F83" s="53"/>
      <c r="K83" s="65"/>
      <c r="L83" s="65" t="s">
        <v>100</v>
      </c>
      <c r="M83" s="66">
        <v>0.05</v>
      </c>
      <c r="N83" s="67">
        <f>M83</f>
        <v>0.05</v>
      </c>
    </row>
    <row r="84" spans="3:14">
      <c r="D84" s="2">
        <f t="shared" ref="D84:D88" si="14">POWER(D68-D76,2)/D76</f>
        <v>4.55</v>
      </c>
      <c r="E84" s="2">
        <f t="shared" ref="E84:E88" si="15">POWER(E68-E76,2)/E76</f>
        <v>2.4500000000000002</v>
      </c>
      <c r="J84" s="148" t="s">
        <v>123</v>
      </c>
      <c r="K84" s="149"/>
      <c r="L84" s="149"/>
      <c r="M84" s="56">
        <f>CHIINV(M83,4)</f>
        <v>9.4877290367811593</v>
      </c>
    </row>
    <row r="85" spans="3:14">
      <c r="D85" s="2">
        <f t="shared" si="14"/>
        <v>2.4142857142857101</v>
      </c>
      <c r="E85" s="2">
        <f t="shared" si="15"/>
        <v>1.3</v>
      </c>
      <c r="H85" s="130" t="s">
        <v>125</v>
      </c>
      <c r="I85" s="127"/>
      <c r="J85" s="127"/>
      <c r="K85" s="127"/>
      <c r="L85" s="127"/>
      <c r="M85" s="127"/>
    </row>
    <row r="86" spans="3:14">
      <c r="D86" s="2">
        <f t="shared" si="14"/>
        <v>3.6214285714285701</v>
      </c>
      <c r="E86" s="2">
        <f t="shared" si="15"/>
        <v>1.95</v>
      </c>
      <c r="H86" s="130" t="s">
        <v>126</v>
      </c>
      <c r="I86" s="130"/>
      <c r="J86" s="130"/>
      <c r="K86" s="130"/>
      <c r="L86" s="130"/>
      <c r="M86" s="130"/>
      <c r="N86" s="130"/>
    </row>
    <row r="87" spans="3:14">
      <c r="D87" s="2">
        <f t="shared" si="14"/>
        <v>1.20714285714286</v>
      </c>
      <c r="E87" s="2">
        <f t="shared" si="15"/>
        <v>0.65</v>
      </c>
    </row>
    <row r="88" spans="3:14">
      <c r="D88" s="2">
        <f t="shared" si="14"/>
        <v>1.20714285714286</v>
      </c>
      <c r="E88" s="2">
        <f t="shared" si="15"/>
        <v>0.65</v>
      </c>
    </row>
    <row r="89" spans="3:14">
      <c r="C89" s="51"/>
      <c r="D89" s="52"/>
      <c r="E89" s="55" t="s">
        <v>119</v>
      </c>
      <c r="F89" s="56">
        <f>SUM(D84:E88)</f>
        <v>20</v>
      </c>
    </row>
  </sheetData>
  <mergeCells count="60">
    <mergeCell ref="R9:R10"/>
    <mergeCell ref="C9:D11"/>
    <mergeCell ref="L31:L36"/>
    <mergeCell ref="M9:M11"/>
    <mergeCell ref="M12:M16"/>
    <mergeCell ref="M18:M22"/>
    <mergeCell ref="M24:M29"/>
    <mergeCell ref="M31:M36"/>
    <mergeCell ref="H85:M85"/>
    <mergeCell ref="H86:N86"/>
    <mergeCell ref="C12:C16"/>
    <mergeCell ref="C18:C22"/>
    <mergeCell ref="C24:C29"/>
    <mergeCell ref="C31:C36"/>
    <mergeCell ref="C42:C43"/>
    <mergeCell ref="C66:C67"/>
    <mergeCell ref="F42:F43"/>
    <mergeCell ref="F66:F67"/>
    <mergeCell ref="K12:K16"/>
    <mergeCell ref="K18:K22"/>
    <mergeCell ref="K24:K29"/>
    <mergeCell ref="K31:K36"/>
    <mergeCell ref="L12:L16"/>
    <mergeCell ref="L18:L22"/>
    <mergeCell ref="H62:N62"/>
    <mergeCell ref="T62:Z62"/>
    <mergeCell ref="H66:J66"/>
    <mergeCell ref="K82:L82"/>
    <mergeCell ref="J84:L84"/>
    <mergeCell ref="K58:L58"/>
    <mergeCell ref="W58:X58"/>
    <mergeCell ref="J60:L60"/>
    <mergeCell ref="V60:X60"/>
    <mergeCell ref="H61:M61"/>
    <mergeCell ref="T61:Y61"/>
    <mergeCell ref="C37:J37"/>
    <mergeCell ref="K37:M37"/>
    <mergeCell ref="D42:E42"/>
    <mergeCell ref="H42:J42"/>
    <mergeCell ref="T42:V42"/>
    <mergeCell ref="C23:J23"/>
    <mergeCell ref="K23:M23"/>
    <mergeCell ref="U23:AA23"/>
    <mergeCell ref="U25:W25"/>
    <mergeCell ref="C30:J30"/>
    <mergeCell ref="K30:M30"/>
    <mergeCell ref="L24:L29"/>
    <mergeCell ref="C17:J17"/>
    <mergeCell ref="K17:M17"/>
    <mergeCell ref="X19:Y19"/>
    <mergeCell ref="W21:Y21"/>
    <mergeCell ref="U22:Z22"/>
    <mergeCell ref="E9:J9"/>
    <mergeCell ref="P9:Q9"/>
    <mergeCell ref="E10:F10"/>
    <mergeCell ref="G10:H10"/>
    <mergeCell ref="I10:J10"/>
    <mergeCell ref="K9:K11"/>
    <mergeCell ref="L9:L11"/>
    <mergeCell ref="O9:O10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Equation.KSEE3" shapeId="4099" r:id="rId3">
          <objectPr defaultSize="0" altText="" r:id="rId4">
            <anchor moveWithCells="1">
              <from>
                <xdr:col>20</xdr:col>
                <xdr:colOff>495300</xdr:colOff>
                <xdr:row>12</xdr:row>
                <xdr:rowOff>104775</xdr:rowOff>
              </from>
              <to>
                <xdr:col>23</xdr:col>
                <xdr:colOff>428625</xdr:colOff>
                <xdr:row>15</xdr:row>
                <xdr:rowOff>180975</xdr:rowOff>
              </to>
            </anchor>
          </objectPr>
        </oleObject>
      </mc:Choice>
      <mc:Fallback>
        <oleObject progId="Equation.KSEE3" shapeId="4099" r:id="rId3"/>
      </mc:Fallback>
    </mc:AlternateContent>
    <mc:AlternateContent xmlns:mc="http://schemas.openxmlformats.org/markup-compatibility/2006">
      <mc:Choice Requires="x14">
        <oleObject progId="Equation.KSEE3" shapeId="4100" r:id="rId5">
          <objectPr defaultSize="0" altText="" r:id="rId6">
            <anchor moveWithCells="1">
              <from>
                <xdr:col>20</xdr:col>
                <xdr:colOff>361950</xdr:colOff>
                <xdr:row>25</xdr:row>
                <xdr:rowOff>66675</xdr:rowOff>
              </from>
              <to>
                <xdr:col>23</xdr:col>
                <xdr:colOff>161925</xdr:colOff>
                <xdr:row>28</xdr:row>
                <xdr:rowOff>9525</xdr:rowOff>
              </to>
            </anchor>
          </objectPr>
        </oleObject>
      </mc:Choice>
      <mc:Fallback>
        <oleObject progId="Equation.KSEE3" shapeId="4100" r:id="rId5"/>
      </mc:Fallback>
    </mc:AlternateContent>
    <mc:AlternateContent xmlns:mc="http://schemas.openxmlformats.org/markup-compatibility/2006">
      <mc:Choice Requires="x14">
        <oleObject progId="Equation.KSEE3" shapeId="4101" r:id="rId7">
          <objectPr defaultSize="0" altText="" r:id="rId6">
            <anchor moveWithCells="1">
              <from>
                <xdr:col>7</xdr:col>
                <xdr:colOff>361950</xdr:colOff>
                <xdr:row>42</xdr:row>
                <xdr:rowOff>66675</xdr:rowOff>
              </from>
              <to>
                <xdr:col>10</xdr:col>
                <xdr:colOff>161925</xdr:colOff>
                <xdr:row>45</xdr:row>
                <xdr:rowOff>28575</xdr:rowOff>
              </to>
            </anchor>
          </objectPr>
        </oleObject>
      </mc:Choice>
      <mc:Fallback>
        <oleObject progId="Equation.KSEE3" shapeId="4101" r:id="rId7"/>
      </mc:Fallback>
    </mc:AlternateContent>
    <mc:AlternateContent xmlns:mc="http://schemas.openxmlformats.org/markup-compatibility/2006">
      <mc:Choice Requires="x14">
        <oleObject progId="Equation.KSEE3" shapeId="4102" r:id="rId8">
          <objectPr defaultSize="0" altText="" r:id="rId4">
            <anchor moveWithCells="1">
              <from>
                <xdr:col>7</xdr:col>
                <xdr:colOff>495300</xdr:colOff>
                <xdr:row>51</xdr:row>
                <xdr:rowOff>104775</xdr:rowOff>
              </from>
              <to>
                <xdr:col>10</xdr:col>
                <xdr:colOff>428625</xdr:colOff>
                <xdr:row>55</xdr:row>
                <xdr:rowOff>19050</xdr:rowOff>
              </to>
            </anchor>
          </objectPr>
        </oleObject>
      </mc:Choice>
      <mc:Fallback>
        <oleObject progId="Equation.KSEE3" shapeId="4102" r:id="rId8"/>
      </mc:Fallback>
    </mc:AlternateContent>
    <mc:AlternateContent xmlns:mc="http://schemas.openxmlformats.org/markup-compatibility/2006">
      <mc:Choice Requires="x14">
        <oleObject progId="Equation.KSEE3" shapeId="4103" r:id="rId9">
          <objectPr defaultSize="0" altText="" r:id="rId6">
            <anchor moveWithCells="1">
              <from>
                <xdr:col>19</xdr:col>
                <xdr:colOff>361950</xdr:colOff>
                <xdr:row>42</xdr:row>
                <xdr:rowOff>66675</xdr:rowOff>
              </from>
              <to>
                <xdr:col>22</xdr:col>
                <xdr:colOff>161925</xdr:colOff>
                <xdr:row>45</xdr:row>
                <xdr:rowOff>28575</xdr:rowOff>
              </to>
            </anchor>
          </objectPr>
        </oleObject>
      </mc:Choice>
      <mc:Fallback>
        <oleObject progId="Equation.KSEE3" shapeId="4103" r:id="rId9"/>
      </mc:Fallback>
    </mc:AlternateContent>
    <mc:AlternateContent xmlns:mc="http://schemas.openxmlformats.org/markup-compatibility/2006">
      <mc:Choice Requires="x14">
        <oleObject progId="Equation.KSEE3" shapeId="4104" r:id="rId10">
          <objectPr defaultSize="0" altText="" r:id="rId4">
            <anchor moveWithCells="1">
              <from>
                <xdr:col>19</xdr:col>
                <xdr:colOff>495300</xdr:colOff>
                <xdr:row>51</xdr:row>
                <xdr:rowOff>104775</xdr:rowOff>
              </from>
              <to>
                <xdr:col>22</xdr:col>
                <xdr:colOff>428625</xdr:colOff>
                <xdr:row>55</xdr:row>
                <xdr:rowOff>19050</xdr:rowOff>
              </to>
            </anchor>
          </objectPr>
        </oleObject>
      </mc:Choice>
      <mc:Fallback>
        <oleObject progId="Equation.KSEE3" shapeId="4104" r:id="rId10"/>
      </mc:Fallback>
    </mc:AlternateContent>
    <mc:AlternateContent xmlns:mc="http://schemas.openxmlformats.org/markup-compatibility/2006">
      <mc:Choice Requires="x14">
        <oleObject progId="Equation.KSEE3" shapeId="4105" r:id="rId11">
          <objectPr defaultSize="0" altText="" r:id="rId6">
            <anchor moveWithCells="1">
              <from>
                <xdr:col>7</xdr:col>
                <xdr:colOff>361950</xdr:colOff>
                <xdr:row>66</xdr:row>
                <xdr:rowOff>66675</xdr:rowOff>
              </from>
              <to>
                <xdr:col>10</xdr:col>
                <xdr:colOff>161925</xdr:colOff>
                <xdr:row>69</xdr:row>
                <xdr:rowOff>28575</xdr:rowOff>
              </to>
            </anchor>
          </objectPr>
        </oleObject>
      </mc:Choice>
      <mc:Fallback>
        <oleObject progId="Equation.KSEE3" shapeId="4105" r:id="rId11"/>
      </mc:Fallback>
    </mc:AlternateContent>
    <mc:AlternateContent xmlns:mc="http://schemas.openxmlformats.org/markup-compatibility/2006">
      <mc:Choice Requires="x14">
        <oleObject progId="Equation.KSEE3" shapeId="4106" r:id="rId12">
          <objectPr defaultSize="0" altText="" r:id="rId4">
            <anchor moveWithCells="1">
              <from>
                <xdr:col>7</xdr:col>
                <xdr:colOff>495300</xdr:colOff>
                <xdr:row>75</xdr:row>
                <xdr:rowOff>104775</xdr:rowOff>
              </from>
              <to>
                <xdr:col>10</xdr:col>
                <xdr:colOff>428625</xdr:colOff>
                <xdr:row>79</xdr:row>
                <xdr:rowOff>19050</xdr:rowOff>
              </to>
            </anchor>
          </objectPr>
        </oleObject>
      </mc:Choice>
      <mc:Fallback>
        <oleObject progId="Equation.KSEE3" shapeId="4106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F39" sqref="F39"/>
    </sheetView>
  </sheetViews>
  <sheetFormatPr baseColWidth="10" defaultColWidth="9.140625" defaultRowHeight="15"/>
  <cols>
    <col min="1" max="1" width="18.85546875"/>
    <col min="2" max="3" width="7.7109375"/>
    <col min="4" max="4" width="13.5703125"/>
    <col min="5" max="5" width="10" customWidth="1"/>
  </cols>
  <sheetData>
    <row r="3" spans="1:5">
      <c r="A3" t="s">
        <v>173</v>
      </c>
      <c r="B3" t="s">
        <v>174</v>
      </c>
    </row>
    <row r="4" spans="1:5">
      <c r="A4" t="s">
        <v>175</v>
      </c>
      <c r="B4" t="s">
        <v>22</v>
      </c>
      <c r="C4" t="s">
        <v>14</v>
      </c>
      <c r="D4" t="s">
        <v>128</v>
      </c>
    </row>
    <row r="5" spans="1:5">
      <c r="A5" t="s">
        <v>25</v>
      </c>
      <c r="B5">
        <v>3</v>
      </c>
      <c r="C5">
        <v>5</v>
      </c>
      <c r="D5">
        <v>8</v>
      </c>
      <c r="E5" s="2">
        <f>8/13*100</f>
        <v>61.538461538461497</v>
      </c>
    </row>
    <row r="6" spans="1:5">
      <c r="A6" t="s">
        <v>19</v>
      </c>
      <c r="C6">
        <v>5</v>
      </c>
      <c r="D6">
        <v>5</v>
      </c>
      <c r="E6" s="2">
        <f>5/13*100</f>
        <v>38.461538461538503</v>
      </c>
    </row>
    <row r="7" spans="1:5">
      <c r="A7" t="s">
        <v>128</v>
      </c>
      <c r="B7">
        <v>3</v>
      </c>
      <c r="C7">
        <v>10</v>
      </c>
      <c r="D7">
        <v>13</v>
      </c>
    </row>
  </sheetData>
  <pageMargins left="0.75" right="0.75" top="1" bottom="1" header="0.5" footer="0.5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9:L32"/>
  <sheetViews>
    <sheetView workbookViewId="0">
      <selection activeCell="L32" sqref="J19:L32"/>
    </sheetView>
  </sheetViews>
  <sheetFormatPr baseColWidth="10" defaultColWidth="9.140625" defaultRowHeight="15"/>
  <cols>
    <col min="1" max="1" width="19.42578125"/>
    <col min="2" max="3" width="7.85546875"/>
    <col min="4" max="4" width="13.5703125"/>
  </cols>
  <sheetData>
    <row r="19" spans="10:12">
      <c r="J19" t="s">
        <v>176</v>
      </c>
      <c r="K19" t="s">
        <v>174</v>
      </c>
      <c r="L19" t="s">
        <v>175</v>
      </c>
    </row>
    <row r="20" spans="10:12">
      <c r="J20" s="1">
        <v>1</v>
      </c>
      <c r="K20" t="s">
        <v>14</v>
      </c>
      <c r="L20" t="s">
        <v>19</v>
      </c>
    </row>
    <row r="21" spans="10:12">
      <c r="J21" s="1">
        <v>1</v>
      </c>
      <c r="K21" t="s">
        <v>22</v>
      </c>
      <c r="L21" t="s">
        <v>25</v>
      </c>
    </row>
    <row r="22" spans="10:12">
      <c r="J22" s="1">
        <v>1</v>
      </c>
      <c r="K22" t="s">
        <v>14</v>
      </c>
      <c r="L22" t="s">
        <v>19</v>
      </c>
    </row>
    <row r="23" spans="10:12">
      <c r="J23" s="1">
        <v>1</v>
      </c>
      <c r="K23" t="s">
        <v>14</v>
      </c>
      <c r="L23" t="s">
        <v>25</v>
      </c>
    </row>
    <row r="24" spans="10:12">
      <c r="J24" s="1">
        <v>1</v>
      </c>
      <c r="K24" t="s">
        <v>14</v>
      </c>
      <c r="L24" t="s">
        <v>25</v>
      </c>
    </row>
    <row r="25" spans="10:12">
      <c r="J25" s="1">
        <v>1</v>
      </c>
      <c r="K25" t="s">
        <v>22</v>
      </c>
      <c r="L25" t="s">
        <v>25</v>
      </c>
    </row>
    <row r="26" spans="10:12">
      <c r="J26" s="1">
        <v>1</v>
      </c>
      <c r="K26" t="s">
        <v>14</v>
      </c>
      <c r="L26" t="s">
        <v>19</v>
      </c>
    </row>
    <row r="27" spans="10:12">
      <c r="J27" s="1">
        <v>1</v>
      </c>
      <c r="K27" t="s">
        <v>14</v>
      </c>
      <c r="L27" t="s">
        <v>19</v>
      </c>
    </row>
    <row r="28" spans="10:12">
      <c r="J28" s="1">
        <v>1</v>
      </c>
      <c r="K28" t="s">
        <v>14</v>
      </c>
      <c r="L28" t="s">
        <v>25</v>
      </c>
    </row>
    <row r="29" spans="10:12">
      <c r="J29" s="1">
        <v>1</v>
      </c>
      <c r="K29" t="s">
        <v>22</v>
      </c>
      <c r="L29" t="s">
        <v>25</v>
      </c>
    </row>
    <row r="30" spans="10:12">
      <c r="J30" s="1">
        <v>1</v>
      </c>
      <c r="K30" t="s">
        <v>14</v>
      </c>
      <c r="L30" t="s">
        <v>19</v>
      </c>
    </row>
    <row r="31" spans="10:12">
      <c r="J31" s="1">
        <v>1</v>
      </c>
      <c r="K31" t="s">
        <v>14</v>
      </c>
      <c r="L31" t="s">
        <v>25</v>
      </c>
    </row>
    <row r="32" spans="10:12">
      <c r="J32" s="1">
        <v>1</v>
      </c>
      <c r="K32" t="s">
        <v>14</v>
      </c>
      <c r="L32" t="s">
        <v>25</v>
      </c>
    </row>
  </sheetData>
  <autoFilter ref="J19:M3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BD</vt:lpstr>
      <vt:lpstr>Edad Tez Sexo</vt:lpstr>
      <vt:lpstr>Años</vt:lpstr>
      <vt:lpstr>Asp Clínicos</vt:lpstr>
      <vt:lpstr>Mortalidad X2</vt:lpstr>
      <vt:lpstr>Hoja7</vt:lpstr>
      <vt:lpstr>Hoja9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Royland</dc:creator>
  <cp:lastModifiedBy>Editor</cp:lastModifiedBy>
  <dcterms:created xsi:type="dcterms:W3CDTF">2025-03-15T21:55:00Z</dcterms:created>
  <dcterms:modified xsi:type="dcterms:W3CDTF">2025-10-24T10:05:57Z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ED4240E8800E4E8FAC8A30BE646D9255_13</vt:lpwstr>
  </property>
  <property fmtid="{D5CDD505-2E9C-101B-9397-08002B2CF9AE}" pid="3" name="KSOProductBuildVer">
    <vt:lpwstr>3082-12.2.0.20795</vt:lpwstr>
  </property>
</Properties>
</file>